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ta\Ziguia\Ziguia Engenharia - Caruso\Duque de Caxias - RJ\Produtos - PMI\4. Revisado\Edital_2023\3ª entrega\"/>
    </mc:Choice>
  </mc:AlternateContent>
  <bookViews>
    <workbookView xWindow="0" yWindow="0" windowWidth="19425" windowHeight="11025" tabRatio="908" activeTab="1"/>
  </bookViews>
  <sheets>
    <sheet name="DF (PMI)" sheetId="280" r:id="rId1"/>
    <sheet name="Resumo contraprestação" sheetId="282" r:id="rId2"/>
    <sheet name="Quadro 02 - Custos" sheetId="261" state="hidden" r:id="rId3"/>
    <sheet name="4.1 TRANSFERENCIA" sheetId="267" state="hidden" r:id="rId4"/>
    <sheet name="Quadro 03 - Investimentos" sheetId="260" state="hidden" r:id="rId5"/>
    <sheet name="Balanço de massa RCC" sheetId="257" state="hidden" r:id="rId6"/>
    <sheet name="Balanço de massa RVV" sheetId="256" state="hidden" r:id="rId7"/>
    <sheet name="Balanço de massa RSD" sheetId="25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123Graph_A" hidden="1">[1]aux!$I$28:$M$28</definedName>
    <definedName name="__123Graph_ACurrent" hidden="1">'[2]2- Varrição Man.- Imp. de Cesto'!$BD$1:$BN$1</definedName>
    <definedName name="__123Graph_AGraph1" hidden="1">[1]aux!$I$6:$M$6</definedName>
    <definedName name="__123Graph_AGraph10" hidden="1">[1]aux!$I$24:$M$24</definedName>
    <definedName name="__123Graph_AGraph11" hidden="1">[1]aux!$I$26:$M$26</definedName>
    <definedName name="__123Graph_AGraph12" hidden="1">[1]aux!$I$28:$M$28</definedName>
    <definedName name="__123Graph_AGraph2" hidden="1">[1]aux!$I$8:$M$8</definedName>
    <definedName name="__123Graph_AGraph3" hidden="1">[1]aux!$I$10:$M$10</definedName>
    <definedName name="__123Graph_AGraph4" hidden="1">[1]aux!$I$12:$M$12</definedName>
    <definedName name="__123Graph_AGraph5" hidden="1">[1]aux!$I$14:$M$14</definedName>
    <definedName name="__123Graph_AGraph6" hidden="1">[1]aux!$I$16:$M$16</definedName>
    <definedName name="__123Graph_AGraph7" hidden="1">[1]aux!$I$18:$M$18</definedName>
    <definedName name="__123Graph_AGraph8" hidden="1">[1]aux!$I$20:$M$20</definedName>
    <definedName name="__123Graph_AGraph9" hidden="1">[1]aux!$I$22:$M$22</definedName>
    <definedName name="__123Graph_ASIDECO" localSheetId="3" hidden="1">#REF!</definedName>
    <definedName name="__123Graph_ASIDECO" localSheetId="5" hidden="1">#REF!</definedName>
    <definedName name="__123Graph_ASIDECO" localSheetId="6" hidden="1">#REF!</definedName>
    <definedName name="__123Graph_ASIDECO" hidden="1">#REF!</definedName>
    <definedName name="__123Graph_B" hidden="1">[1]aux!$B$28:$F$28</definedName>
    <definedName name="__123Graph_BCurrent" hidden="1">'[2]2- Varrição Man.- Imp. de Cesto'!$BD$2:$BN$2</definedName>
    <definedName name="__123Graph_BGraph1" hidden="1">[1]aux!$B$6:$F$6</definedName>
    <definedName name="__123Graph_BGraph10" hidden="1">[1]aux!$B$24:$F$24</definedName>
    <definedName name="__123Graph_BGraph11" hidden="1">[1]aux!$B$26:$F$26</definedName>
    <definedName name="__123Graph_BGraph12" hidden="1">[1]aux!$B$28:$F$28</definedName>
    <definedName name="__123Graph_BGraph2" hidden="1">[1]aux!$B$8:$F$8</definedName>
    <definedName name="__123Graph_BGraph3" hidden="1">[1]aux!$B$10:$F$10</definedName>
    <definedName name="__123Graph_BGraph4" hidden="1">[1]aux!$B$12:$F$12</definedName>
    <definedName name="__123Graph_BGraph5" hidden="1">[1]aux!$B$14:$F$14</definedName>
    <definedName name="__123Graph_BGraph6" hidden="1">[1]aux!$B$16:$F$16</definedName>
    <definedName name="__123Graph_BGraph7" hidden="1">[1]aux!$B$18:$F$18</definedName>
    <definedName name="__123Graph_BGraph8" hidden="1">[1]aux!$B$20:$F$20</definedName>
    <definedName name="__123Graph_BGraph9" hidden="1">[1]aux!$B$22:$F$22</definedName>
    <definedName name="__123Graph_BSIDECO" localSheetId="3" hidden="1">#REF!</definedName>
    <definedName name="__123Graph_BSIDECO" localSheetId="5" hidden="1">#REF!</definedName>
    <definedName name="__123Graph_BSIDECO" localSheetId="6" hidden="1">#REF!</definedName>
    <definedName name="__123Graph_BSIDECO" hidden="1">#REF!</definedName>
    <definedName name="__123Graph_CCurrent" hidden="1">'[2]2- Varrição Man.- Imp. de Cesto'!$BD$3:$BN$3</definedName>
    <definedName name="__123Graph_CSIDECO" localSheetId="3" hidden="1">#REF!</definedName>
    <definedName name="__123Graph_CSIDECO" localSheetId="5" hidden="1">#REF!</definedName>
    <definedName name="__123Graph_CSIDECO" localSheetId="6" hidden="1">#REF!</definedName>
    <definedName name="__123Graph_CSIDECO" hidden="1">#REF!</definedName>
    <definedName name="__123Graph_DCurrent" hidden="1">'[2]2- Varrição Man.- Imp. de Cesto'!$BD$4:$BN$4</definedName>
    <definedName name="__123Graph_ECurrent" hidden="1">'[2]2- Varrição Man.- Imp. de Cesto'!$BD$5:$BN$5</definedName>
    <definedName name="__123Graph_FCurrent" hidden="1">'[2]2- Varrição Man.- Imp. de Cesto'!$BD$6:$BN$6</definedName>
    <definedName name="__123Graph_X" hidden="1">[1]aux!$B$29:$F$29</definedName>
    <definedName name="__123Graph_XGraph1" hidden="1">[1]aux!$B$7:$F$7</definedName>
    <definedName name="__123Graph_XGraph10" hidden="1">[1]aux!$B$25:$F$25</definedName>
    <definedName name="__123Graph_XGraph11" hidden="1">[1]aux!$B$27:$F$27</definedName>
    <definedName name="__123Graph_XGraph12" hidden="1">[1]aux!$B$29:$F$29</definedName>
    <definedName name="__123Graph_XGraph2" hidden="1">[1]aux!$B$9:$F$9</definedName>
    <definedName name="__123Graph_XGraph3" hidden="1">[1]aux!$B$11:$F$11</definedName>
    <definedName name="__123Graph_XGraph4" hidden="1">[1]aux!$B$13:$F$13</definedName>
    <definedName name="__123Graph_XGraph5" hidden="1">[1]aux!$B$15:$F$15</definedName>
    <definedName name="__123Graph_XGraph6" hidden="1">[1]aux!$B$17:$F$17</definedName>
    <definedName name="__123Graph_XGraph7" hidden="1">[1]aux!$B$19:$F$19</definedName>
    <definedName name="__123Graph_XGraph8" hidden="1">[1]aux!$B$21:$F$21</definedName>
    <definedName name="__123Graph_XGraph9" hidden="1">[1]aux!$B$23:$F$23</definedName>
    <definedName name="__123Graph_XSIDECO" localSheetId="3" hidden="1">#REF!</definedName>
    <definedName name="__123Graph_XSIDECO" localSheetId="5" hidden="1">#REF!</definedName>
    <definedName name="__123Graph_XSIDECO" localSheetId="6" hidden="1">#REF!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IntlFixup" hidden="1">TRUE</definedName>
    <definedName name="__IntlFixupTable" localSheetId="5" hidden="1">#REF!</definedName>
    <definedName name="__IntlFixupTable" localSheetId="6" hidden="1">#REF!</definedName>
    <definedName name="__IntlFixupTable" hidden="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__123Graph_ACHART_1" hidden="1">[3]EAIGESEN!$O$8:$O$8</definedName>
    <definedName name="_10__123Graph_BCHART_2" localSheetId="5" hidden="1">[4]Premissas!#REF!</definedName>
    <definedName name="_10__123Graph_BCHART_2" localSheetId="6" hidden="1">[4]Premissas!#REF!</definedName>
    <definedName name="_10__123Graph_BCHART_2" hidden="1">[4]Premissas!#REF!</definedName>
    <definedName name="_15__123Graph_CCHART_2" localSheetId="5" hidden="1">[4]Premissas!#REF!</definedName>
    <definedName name="_15__123Graph_CCHART_2" localSheetId="6" hidden="1">[4]Premissas!#REF!</definedName>
    <definedName name="_15__123Graph_CCHART_2" hidden="1">[4]Premissas!#REF!</definedName>
    <definedName name="_2__123Graph_ACHART_3" hidden="1">[3]EAIGESEN!$O$16:$O$17</definedName>
    <definedName name="_20__123Graph_DCHART_2" localSheetId="5" hidden="1">[4]Premissas!#REF!</definedName>
    <definedName name="_20__123Graph_DCHART_2" localSheetId="6" hidden="1">[4]Premissas!#REF!</definedName>
    <definedName name="_20__123Graph_DCHART_2" hidden="1">[4]Premissas!#REF!</definedName>
    <definedName name="_3__123Graph_BCHART_1" hidden="1">[5]EAIGESEN!#REF!</definedName>
    <definedName name="_4__123Graph_CCHART_1" hidden="1">[5]EAIGESEN!#REF!</definedName>
    <definedName name="_5__123Graph_ACHART_2" localSheetId="5" hidden="1">[4]Premissas!#REF!</definedName>
    <definedName name="_5__123Graph_ACHART_2" localSheetId="6" hidden="1">[4]Premissas!#REF!</definedName>
    <definedName name="_5__123Graph_ACHART_2" hidden="1">[4]Premissas!#REF!</definedName>
    <definedName name="_5__123Graph_DCHART_1" hidden="1">[5]EAIGESEN!#REF!</definedName>
    <definedName name="_6__123Graph_ECHART_1" hidden="1">[5]EAIGESEN!#REF!</definedName>
    <definedName name="_7__123Graph_FCHART_1" hidden="1">[3]EAIGESEN!#REF!</definedName>
    <definedName name="_8__123Graph_XCHART_3" hidden="1">[6]estgg!#REF!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go1" hidden="1">{"'gráf jan00'!$A$1:$AK$41"}</definedName>
    <definedName name="_ago10" hidden="1">{"'gráf jan00'!$A$1:$AK$41"}</definedName>
    <definedName name="_ago2" hidden="1">{"'gráf jan00'!$A$1:$AK$41"}</definedName>
    <definedName name="_ago3" hidden="1">{"'gráf jan00'!$A$1:$AK$41"}</definedName>
    <definedName name="_ago4" hidden="1">{"'gráf jan00'!$A$1:$AK$41"}</definedName>
    <definedName name="_ago5" hidden="1">{"'gráf jan00'!$A$1:$AK$41"}</definedName>
    <definedName name="_ago6" hidden="1">{"'gráf jan00'!$A$1:$AK$41"}</definedName>
    <definedName name="_ago7" hidden="1">{"'gráf jan00'!$A$1:$AK$41"}</definedName>
    <definedName name="_ago8" hidden="1">{"'gráf jan00'!$A$1:$AK$41"}</definedName>
    <definedName name="_ago9" hidden="1">{"'gráf jan00'!$A$1:$AK$41"}</definedName>
    <definedName name="_ago99999" hidden="1">{"'gráf jan00'!$A$1:$AK$41"}</definedName>
    <definedName name="_bdm.54f570bbd660431c975ef84a3c3f1b83.edm" hidden="1">#REF!</definedName>
    <definedName name="_bdm.66befebf13f946faa38b37f73b0f6514.edm" hidden="1">#REF!</definedName>
    <definedName name="_bdm.7ce050e2b8f64d549e1e927cd85f5af7.edm" hidden="1">#REF!</definedName>
    <definedName name="_bdm.a2617ce632044544acdea76aafb49511.edm" hidden="1">'[7]Outputs 1'!$1:$1048576</definedName>
    <definedName name="_D5" hidden="1">{"'RR'!$A$2:$E$81"}</definedName>
    <definedName name="_DEF2" hidden="1">{#N/A,#N/A,FALSE,"DEF1";#N/A,#N/A,FALSE,"DEF2";#N/A,#N/A,FALSE,"DEF3"}</definedName>
    <definedName name="_DEF3" hidden="1">{#N/A,#N/A,FALSE,"DEF1";#N/A,#N/A,FALSE,"DEF2";#N/A,#N/A,FALSE,"DEF3"}</definedName>
    <definedName name="_efc10" hidden="1">{"'RR'!$A$2:$E$81"}</definedName>
    <definedName name="_EFC2" hidden="1">{"'RR'!$A$2:$E$81"}</definedName>
    <definedName name="_EFC3" hidden="1">{"'RR'!$A$2:$E$81"}</definedName>
    <definedName name="_EFC4" hidden="1">{"'RR'!$A$2:$E$81"}</definedName>
    <definedName name="_ffp16" hidden="1">{"'gráf jan00'!$A$1:$AK$41"}</definedName>
    <definedName name="_ffp4589" hidden="1">{"'gráf jan00'!$A$1:$AK$41"}</definedName>
    <definedName name="_Fill" localSheetId="3" hidden="1">[8]DESP_OPERAC!$GI$4:$GI$36</definedName>
    <definedName name="_Fill" localSheetId="5" hidden="1">#REF!</definedName>
    <definedName name="_Fill" localSheetId="6" hidden="1">#REF!</definedName>
    <definedName name="_Fill" hidden="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un04" hidden="1">{"'gráf jan00'!$A$1:$AK$41"}</definedName>
    <definedName name="_Key1" localSheetId="3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3" hidden="1">#REF!</definedName>
    <definedName name="_Key2" hidden="1">'[9]#REF'!$C$26</definedName>
    <definedName name="_MatMult_A" localSheetId="5" hidden="1">'[10]Painel de Controle'!#REF!</definedName>
    <definedName name="_MatMult_A" localSheetId="6" hidden="1">'[10]Painel de Controle'!#REF!</definedName>
    <definedName name="_MatMult_A" hidden="1">'[10]Painel de Controle'!#REF!</definedName>
    <definedName name="_MOA1" hidden="1">{#N/A,#N/A,FALSE,"DEF1";#N/A,#N/A,FALSE,"DEF2";#N/A,#N/A,FALSE,"DEF3"}</definedName>
    <definedName name="_MOA2" hidden="1">{#N/A,#N/A,FALSE,"DEF1";#N/A,#N/A,FALSE,"DEF2";#N/A,#N/A,FALSE,"DEF3"}</definedName>
    <definedName name="_n2" hidden="1">{#N/A,#N/A,FALSE,"PCOL"}</definedName>
    <definedName name="_Order1" hidden="1">255</definedName>
    <definedName name="_Order2" hidden="1">255</definedName>
    <definedName name="_PA01" hidden="1">{"'teste'!$B$2:$R$49"}</definedName>
    <definedName name="_PGR2" hidden="1">{"'gráf jan00'!$A$1:$AK$41"}</definedName>
    <definedName name="_PN10" hidden="1">{"'gráf jan00'!$A$1:$AK$41"}</definedName>
    <definedName name="_r" hidden="1">{"'CptDifn'!$AA$32:$AG$32"}</definedName>
    <definedName name="_rgt52" hidden="1">{"'IndicadoresRH'!$AA$50:$AP$67"}</definedName>
    <definedName name="_Sort" localSheetId="3" hidden="1">#REF!</definedName>
    <definedName name="_Sort" localSheetId="5" hidden="1">#REF!</definedName>
    <definedName name="_Sort" localSheetId="6" hidden="1">#REF!</definedName>
    <definedName name="_Sort" hidden="1">#REF!</definedName>
    <definedName name="_Table1_In1" localSheetId="3" hidden="1">#REF!</definedName>
    <definedName name="_Table1_In1" localSheetId="5" hidden="1">#REF!</definedName>
    <definedName name="_Table1_In1" localSheetId="6" hidden="1">#REF!</definedName>
    <definedName name="_Table1_In1" hidden="1">#REF!</definedName>
    <definedName name="_Table1_Out" localSheetId="3" hidden="1">#REF!</definedName>
    <definedName name="_Table1_Out" localSheetId="5" hidden="1">#REF!</definedName>
    <definedName name="_Table1_Out" localSheetId="6" hidden="1">#REF!</definedName>
    <definedName name="_Table1_Out" hidden="1">#REF!</definedName>
    <definedName name="_Table2_In1" localSheetId="5" hidden="1">#REF!</definedName>
    <definedName name="_Table2_In1" localSheetId="6" hidden="1">#REF!</definedName>
    <definedName name="_Table2_In1" hidden="1">#REF!</definedName>
    <definedName name="_Table2_Out" localSheetId="3" hidden="1">#REF!</definedName>
    <definedName name="_Table2_Out" localSheetId="5" hidden="1">#REF!</definedName>
    <definedName name="_Table2_Out" localSheetId="6" hidden="1">#REF!</definedName>
    <definedName name="_Table2_Out" hidden="1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´´" localSheetId="5" hidden="1">#REF!</definedName>
    <definedName name="´´" localSheetId="6" hidden="1">#REF!</definedName>
    <definedName name="´´" hidden="1">#REF!</definedName>
    <definedName name="AAA_DOCTOPS" hidden="1">"AAA_SET"</definedName>
    <definedName name="AAA_duser" hidden="1">"OFF"</definedName>
    <definedName name="aaaa" hidden="1">{"'Quadro'!$A$4:$BG$78"}</definedName>
    <definedName name="aaaaa" hidden="1">{"'gráf jan00'!$A$1:$AK$41"}</definedName>
    <definedName name="aaaaaa" hidden="1">{"'CptDifn'!$AA$32:$AG$32"}</definedName>
    <definedName name="aaaaaaaaaaaaa" hidden="1">{"'CptDifn'!$AA$32:$AG$32"}</definedName>
    <definedName name="aaas" hidden="1">{"'gráf jan00'!$A$1:$AK$41"}</definedName>
    <definedName name="AAB_Addin5" hidden="1">"AAB_Description for addin 5,Description for addin 5,Description for addin 5,Description for addin 5,Description for addin 5,Description for addin 5"</definedName>
    <definedName name="aasaasas" hidden="1">{#N/A,#N/A,TRUE,"indice";#N/A,#N/A,TRUE,"indicadores";#N/A,#N/A,TRUE,"comentarios"}</definedName>
    <definedName name="AB" hidden="1">{"'gráf jan00'!$A$1:$AK$41"}</definedName>
    <definedName name="Abalroamento" hidden="1">{"'Quadro'!$A$4:$BG$78"}</definedName>
    <definedName name="abc" hidden="1">{#N/A,#N/A,FALSE,"PCOL"}</definedName>
    <definedName name="ABC.XLS" hidden="1">{"'Quadro'!$A$4:$BG$78"}</definedName>
    <definedName name="abcd" hidden="1">{#N/A,#N/A,FALSE,"PCOL"}</definedName>
    <definedName name="abobora.xls" hidden="1">{"'Quadro'!$A$4:$BG$78"}</definedName>
    <definedName name="Acidente" hidden="1">{"'gráf jan00'!$A$1:$AK$41"}</definedName>
    <definedName name="Ações" hidden="1">"11/10/99"</definedName>
    <definedName name="ad" hidden="1">{"'Quadro'!$A$4:$BG$78"}</definedName>
    <definedName name="adasdad" hidden="1">{"'gráf jan00'!$A$1:$AK$41"}</definedName>
    <definedName name="ADED" hidden="1">{"'gráf jan00'!$A$1:$AK$41"}</definedName>
    <definedName name="Adequaqção" hidden="1">{"'gráf jan00'!$A$1:$AK$41"}</definedName>
    <definedName name="aditivo" hidden="1">{#N/A,#N/A,FALSE,"PCOL"}</definedName>
    <definedName name="adsf" hidden="1">{"'gráf jan00'!$A$1:$AK$41"}</definedName>
    <definedName name="adsfasdfsadf" hidden="1">{"'Quadro'!$A$4:$BG$78"}</definedName>
    <definedName name="AFDaf" hidden="1">#REF!</definedName>
    <definedName name="afds" hidden="1">{"'gráf jan00'!$A$1:$AK$41"}</definedName>
    <definedName name="AGAKLJDFK" hidden="1">{"'gráf jan00'!$A$1:$AK$41"}</definedName>
    <definedName name="ago" localSheetId="3" hidden="1">{"'gráf jan00'!$A$1:$AK$41"}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t5" hidden="1">{"'gráf jan00'!$A$1:$AK$41"}</definedName>
    <definedName name="Agosto" hidden="1">{#N/A,#N/A,FALSE,"SITUAÇÃO DIÁRIA ";#N/A,#N/A,FALSE,"7 à 7"}</definedName>
    <definedName name="ahkjs" hidden="1">{"'Quadro'!$A$4:$BG$78"}</definedName>
    <definedName name="aina" hidden="1">{#N/A,#N/A,FALSE,"PCOL"}</definedName>
    <definedName name="amortizaciones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" hidden="1">{"'gráf jan00'!$A$1:$AK$41"}</definedName>
    <definedName name="ANEXO1" hidden="1">{"'teste'!$B$2:$R$49"}</definedName>
    <definedName name="ANEXO2" hidden="1">{"'teste'!$B$2:$R$49"}</definedName>
    <definedName name="ans" hidden="1">{#N/A,#N/A,FALSE,"PCOL"}</definedName>
    <definedName name="anscount" localSheetId="3" hidden="1">7</definedName>
    <definedName name="anscount" hidden="1">1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R" hidden="1">{"'Quadro'!$A$4:$BG$78"}</definedName>
    <definedName name="Aramis" hidden="1">{"'CptDifn'!$AA$32:$AG$32"}</definedName>
    <definedName name="Arara" hidden="1">{#N/A,#N/A,FALSE,"PCOL"}</definedName>
    <definedName name="AREEWR" hidden="1">{"'Quadro'!$A$4:$BG$78"}</definedName>
    <definedName name="as" localSheetId="3" hidden="1">{"'RR'!$A$2:$E$81"}</definedName>
    <definedName name="a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S2DocOpenMode" hidden="1">"AS2DocumentEdit"</definedName>
    <definedName name="AS2NamedRange" hidden="1">18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asaas" hidden="1">{#N/A,#N/A,TRUE,"indice";#N/A,#N/A,TRUE,"indicadores";#N/A,#N/A,TRUE,"comentarios"}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" hidden="1">{"'gráf jan00'!$A$1:$AK$41"}</definedName>
    <definedName name="asdad" hidden="1">{"'gráf jan00'!$A$1:$AK$41"}</definedName>
    <definedName name="asdadadad" hidden="1">{"'gráf jan00'!$A$1:$AK$41"}</definedName>
    <definedName name="asdadasd" hidden="1">{"'Quadro'!$A$4:$BG$78"}</definedName>
    <definedName name="asdasdasdas" hidden="1">{"'gráf jan00'!$A$1:$AK$41"}</definedName>
    <definedName name="asdf" hidden="1">{"'Quadro'!$A$4:$BG$78"}</definedName>
    <definedName name="asdfasfd" hidden="1">{"'Quadro'!$A$4:$BG$78"}</definedName>
    <definedName name="asdfasfsafasf" hidden="1">{"'CptDifn'!$AA$32:$AG$32"}</definedName>
    <definedName name="asdg" hidden="1">{"'Quadro'!$A$4:$BG$78"}</definedName>
    <definedName name="asdhkasd" hidden="1">{"'Quadro'!$A$4:$BG$78"}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hidden="1">{"'Quadro'!$A$4:$BG$78"}</definedName>
    <definedName name="asjhaksjd" hidden="1">{"'RR'!$A$2:$E$81"}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" hidden="1">{"'Quadro'!$A$4:$BG$78"}</definedName>
    <definedName name="assadasd" hidden="1">{"'gráf jan00'!$A$1:$AK$41"}</definedName>
    <definedName name="assss" hidden="1">{"'Quadro'!$A$4:$BG$78"}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WEFGQ3" hidden="1">{"'gráf jan00'!$A$1:$AK$41"}</definedName>
    <definedName name="AT" hidden="1">{"'Quadro'!$A$4:$BG$78"}</definedName>
    <definedName name="AW" hidden="1">{"'Quadro'!$A$4:$BG$78"}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Backlog" hidden="1">[11]Graficos!#REF!</definedName>
    <definedName name="balance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BB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b" hidden="1">{#N/A,#N/A,FALSE,"PCOL"}</definedName>
    <definedName name="BCD" hidden="1">{"'Quadro'!$A$4:$BG$78"}</definedName>
    <definedName name="bd" hidden="1">{"'IndicadoresRH'!$AA$50:$AP$67"}</definedName>
    <definedName name="BDI" localSheetId="5">#REF!</definedName>
    <definedName name="BDI" localSheetId="6">#REF!</definedName>
    <definedName name="BDI">#REF!</definedName>
    <definedName name="BG_Del" hidden="1">15</definedName>
    <definedName name="BG_Ins" hidden="1">4</definedName>
    <definedName name="BG_Mod" hidden="1">6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1" localSheetId="3" hidden="1">[12]market!$E$7</definedName>
    <definedName name="BLPH1" localSheetId="5" hidden="1">#REF!</definedName>
    <definedName name="BLPH1" localSheetId="6" hidden="1">#REF!</definedName>
    <definedName name="BLPH1" hidden="1">#REF!</definedName>
    <definedName name="BLPH10" hidden="1">[12]market!$O$12</definedName>
    <definedName name="BLPH11" hidden="1">[12]market!$Y$12</definedName>
    <definedName name="BLPH12" hidden="1">[12]market!$T$12</definedName>
    <definedName name="BLPH13" hidden="1">[12]market!$AD$12</definedName>
    <definedName name="BLPH14" localSheetId="3" hidden="1">[12]market!$AI$12</definedName>
    <definedName name="BLPH14" localSheetId="5" hidden="1">#REF!</definedName>
    <definedName name="BLPH14" localSheetId="6" hidden="1">#REF!</definedName>
    <definedName name="BLPH14" hidden="1">#REF!</definedName>
    <definedName name="BLPH15" localSheetId="3" hidden="1">#REF!</definedName>
    <definedName name="BLPH15" localSheetId="5" hidden="1">#REF!</definedName>
    <definedName name="BLPH15" localSheetId="6" hidden="1">#REF!</definedName>
    <definedName name="BLPH15" hidden="1">#REF!</definedName>
    <definedName name="BLPH2" localSheetId="3" hidden="1">[12]market!$I$7</definedName>
    <definedName name="BLPH2" localSheetId="5" hidden="1">#REF!</definedName>
    <definedName name="BLPH2" localSheetId="6" hidden="1">#REF!</definedName>
    <definedName name="BLPH2" hidden="1">#REF!</definedName>
    <definedName name="BLPH23" hidden="1">#REF!</definedName>
    <definedName name="BLPH24" hidden="1">#REF!</definedName>
    <definedName name="BLPH25" hidden="1">#REF!</definedName>
    <definedName name="BLPH3" localSheetId="3" hidden="1">[12]market!$M$7</definedName>
    <definedName name="BLPH3" localSheetId="5" hidden="1">#REF!</definedName>
    <definedName name="BLPH3" localSheetId="6" hidden="1">#REF!</definedName>
    <definedName name="BLPH3" hidden="1">#REF!</definedName>
    <definedName name="BLPH4" localSheetId="3" hidden="1">[12]market!$Q$7</definedName>
    <definedName name="BLPH4" localSheetId="5" hidden="1">#REF!</definedName>
    <definedName name="BLPH4" localSheetId="6" hidden="1">#REF!</definedName>
    <definedName name="BLPH4" hidden="1">#REF!</definedName>
    <definedName name="BLPH5" localSheetId="3" hidden="1">[12]market!$Z$7</definedName>
    <definedName name="BLPH5" localSheetId="5" hidden="1">#REF!</definedName>
    <definedName name="BLPH5" localSheetId="6" hidden="1">#REF!</definedName>
    <definedName name="BLPH5" hidden="1">#REF!</definedName>
    <definedName name="BLPH6" hidden="1">[12]market!$T$7</definedName>
    <definedName name="BLPH7" hidden="1">[12]market!$AC$7</definedName>
    <definedName name="BLPH8" hidden="1">[12]market!$E$12</definedName>
    <definedName name="BLPH9" hidden="1">[12]market!$J$12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il" hidden="1">{"'gráf jan00'!$A$1:$AK$41"}</definedName>
    <definedName name="bvcx" hidden="1">{"'Quadro'!$A$4:$BG$78"}</definedName>
    <definedName name="BXF" hidden="1">{"'Quadro'!$A$4:$BG$78"}</definedName>
    <definedName name="ç" hidden="1">{"'gráf jan00'!$A$1:$AK$41"}</definedName>
    <definedName name="c_c" hidden="1">{"'REL CUSTODIF'!$B$1:$H$72"}</definedName>
    <definedName name="caramba" hidden="1">{"'CptDifn'!$AA$32:$AG$32"}</definedName>
    <definedName name="casia" hidden="1">{"'Quadro'!$A$4:$BG$78"}</definedName>
    <definedName name="cassiamoura" hidden="1">{"'Quadro'!$A$4:$BG$78"}</definedName>
    <definedName name="ççç" hidden="1">{"'gráf jan00'!$A$1:$AK$41"}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ççççççççç" hidden="1">{"'gráf jan00'!$A$1:$AK$41"}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rles" hidden="1">{"'gráf jan00'!$A$1:$AK$41"}</definedName>
    <definedName name="CHECKSSO_OUT" hidden="1">{"'Quadro'!$A$4:$BG$78"}</definedName>
    <definedName name="cida" hidden="1">{#N/A,#N/A,FALSE,"PCOL"}</definedName>
    <definedName name="ÇL" hidden="1">{"'Quadro'!$A$4:$BG$78"}</definedName>
    <definedName name="çlçl" hidden="1">{"'Quadro'!$A$4:$BG$78"}</definedName>
    <definedName name="CMC" hidden="1">{"'Quadro'!$A$4:$BG$78"}</definedName>
    <definedName name="Cobra" hidden="1">{#N/A,#N/A,FALSE,"PCOL"}</definedName>
    <definedName name="Cobre" hidden="1">{"'CptDifn'!$AA$32:$AG$32"}</definedName>
    <definedName name="cofins_presumido">'[13]Tax Assumptions'!$C$15</definedName>
    <definedName name="cofins_real">'[13]Tax Assumptions'!$D$15</definedName>
    <definedName name="Concentrado_Cobre" hidden="1">{"'CptDifn'!$AA$32:$AG$32"}</definedName>
    <definedName name="Controle" hidden="1">{"'Quadro'!$A$4:$BG$78"}</definedName>
    <definedName name="Copia" hidden="1">{#N/A,#N/A,FALSE,"PCOL"}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RONOG" hidden="1">{#N/A,#N/A,FALSE,"BOQCIC";#N/A,#N/A,FALSE,"3Ds";#N/A,#N/A,FALSE,"COST DETAIL"}</definedName>
    <definedName name="Cronograma_Inv" hidden="1">{"'Quadro'!$A$4:$BG$78"}</definedName>
    <definedName name="custeio" hidden="1">{"'REL CUSTODIF'!$B$1:$H$72"}</definedName>
    <definedName name="CUSTO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custo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cxz" hidden="1">{"'gráf jan00'!$A$1:$AK$41"}</definedName>
    <definedName name="CZC" hidden="1">{"'ReceitaLiquidaME'!$AA$25:$AN$32"}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fas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ADOS_SERV">#REF!</definedName>
    <definedName name="Database" localSheetId="5">#REF!</definedName>
    <definedName name="Database" localSheetId="6">#REF!</definedName>
    <definedName name="Database">#REF!</definedName>
    <definedName name="david" hidden="1">{"'gráf jan00'!$A$1:$AK$41"}</definedName>
    <definedName name="david1" hidden="1">{"'gráf jan00'!$A$1:$AK$41"}</definedName>
    <definedName name="ddd" localSheetId="3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ddd" localSheetId="3" hidden="1">{#N/A,#N/A,FALSE,"PCOL"}</definedName>
    <definedName name="dddd" hidden="1">{#N/A,#N/A,FALSE,"BOQCIC";#N/A,#N/A,FALSE,"3Ds";#N/A,#N/A,FALSE,"COST DETAIL"}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hidden="1">{"'gráf jan00'!$A$1:$AK$41"}</definedName>
    <definedName name="DEAM" hidden="1">{"'CptDifn'!$AA$32:$AG$32"}</definedName>
    <definedName name="DEAS" hidden="1">{"'CptDifn'!$AA$32:$AG$32"}</definedName>
    <definedName name="DECG" hidden="1">{"'CptDifn'!$AA$32:$AG$32"}</definedName>
    <definedName name="dedh" hidden="1">{"'CptDifn'!$AA$32:$AG$32"}</definedName>
    <definedName name="defwe" hidden="1">{"'Quadro'!$A$4:$BG$78"}</definedName>
    <definedName name="DEGL" hidden="1">{"'CptDifn'!$AA$32:$AG$32"}</definedName>
    <definedName name="depreciaciones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SCOR" hidden="1">{"'gráf jan00'!$A$1:$AK$41"}</definedName>
    <definedName name="descrisão" hidden="1">{"'gráf jan00'!$A$1:$AK$41"}</definedName>
    <definedName name="Detalhe" hidden="1">{"'Resumo'!$A$4:$N$60"}</definedName>
    <definedName name="deuda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fadsfsadf" hidden="1">{"'gráf jan00'!$A$1:$AK$41"}</definedName>
    <definedName name="dfd" hidden="1">{"'gráf jan00'!$A$1:$AK$41"}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DF" hidden="1">{"'gráf jan00'!$A$1:$AK$41"}</definedName>
    <definedName name="dfdfdfd" hidden="1">#N/A</definedName>
    <definedName name="dfefwqe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ffasf" hidden="1">{#N/A,#N/A,TRUE,"indice";#N/A,#N/A,TRUE,"indicadores";#N/A,#N/A,TRUE,"comentarios"}</definedName>
    <definedName name="DFGADET" hidden="1">{"'gráf jan00'!$A$1:$AK$41"}</definedName>
    <definedName name="DFGDFGD" hidden="1">{"'Quadro'!$A$4:$BG$78"}</definedName>
    <definedName name="dfghd" hidden="1">{"'gráf jan00'!$A$1:$AK$41"}</definedName>
    <definedName name="dfh" hidden="1">{"'gráf jan00'!$A$1:$AK$41"}</definedName>
    <definedName name="dfhgdf" hidden="1">{#N/A,#N/A,TRUE,"indice";#N/A,#N/A,TRUE,"indicadores";#N/A,#N/A,TRUE,"comentarios"}</definedName>
    <definedName name="dfuil" hidden="1">{"'RR'!$A$2:$E$81"}</definedName>
    <definedName name="dgfh" hidden="1">{"'gráf jan00'!$A$1:$AK$41"}</definedName>
    <definedName name="DIESEL" localSheetId="5">#REF!</definedName>
    <definedName name="DIESEL" localSheetId="6">#REF!</definedName>
    <definedName name="DIESEL">#REF!</definedName>
    <definedName name="DILO_Ferrovia" hidden="1">{"'Quadro'!$A$4:$BG$78"}</definedName>
    <definedName name="disp1" hidden="1">{"'RR'!$A$2:$E$81"}</definedName>
    <definedName name="Displocopaul1" hidden="1">{"'gráf jan00'!$A$1:$AK$41"}</definedName>
    <definedName name="disppaul" hidden="1">{"'gráf jan00'!$A$1:$AK$41"}</definedName>
    <definedName name="Disppaul1" hidden="1">{"'gráf jan00'!$A$1:$AK$41"}</definedName>
    <definedName name="disppaul10" hidden="1">{"'gráf jan00'!$A$1:$AK$41"}</definedName>
    <definedName name="disppaul100" hidden="1">{"'gráf jan00'!$A$1:$AK$41"}</definedName>
    <definedName name="disppaul11" hidden="1">{"'Quadro'!$A$4:$BG$78"}</definedName>
    <definedName name="disppaul12" hidden="1">{"'gráf jan00'!$A$1:$AK$41"}</definedName>
    <definedName name="disppaul13" hidden="1">{"'gráf jan00'!$A$1:$AK$41"}</definedName>
    <definedName name="disppaul14" hidden="1">{"'gráf jan00'!$A$1:$AK$41"}</definedName>
    <definedName name="disppaul15" hidden="1">{"'gráf jan00'!$A$1:$AK$41"}</definedName>
    <definedName name="disppaul2" hidden="1">{"'gráf jan00'!$A$1:$AK$41"}</definedName>
    <definedName name="disppaul4" hidden="1">{"'gráf jan00'!$A$1:$AK$41"}</definedName>
    <definedName name="DispTelGASAG" hidden="1">{"'teste'!$B$2:$R$49"}</definedName>
    <definedName name="Divi" hidden="1">{"'Quadro'!$A$4:$BG$78"}</definedName>
    <definedName name="dksojd" hidden="1">{#N/A,#N/A,FALSE,"PCOL"}</definedName>
    <definedName name="DS" hidden="1">{"'Quadro'!$A$4:$BG$78"}</definedName>
    <definedName name="dsa" hidden="1">{"'gráf jan00'!$A$1:$AK$41"}</definedName>
    <definedName name="dsaf" hidden="1">{"'Quadro'!$A$4:$BG$78"}</definedName>
    <definedName name="dsafsad" hidden="1">{"'Quadro'!$A$4:$BG$78"}</definedName>
    <definedName name="dsda" hidden="1">{#N/A,#N/A,TRUE,"indice";#N/A,#N/A,TRUE,"indicadores";#N/A,#N/A,TRUE,"comentarios"}</definedName>
    <definedName name="dsipaul" hidden="1">{"'gráf jan00'!$A$1:$AK$41"}</definedName>
    <definedName name="dssssss" hidden="1">{"'gráf jan00'!$A$1:$AK$41"}</definedName>
    <definedName name="Dúvidas" hidden="1">{"'Quadro'!$A$4:$BG$78"}</definedName>
    <definedName name="DV" hidden="1">{"'Quadro'!$A$4:$BG$78"}</definedName>
    <definedName name="dvs" hidden="1">{#N/A,#N/A,FALSE,"PCOL"}</definedName>
    <definedName name="dwd" hidden="1">{"'Quadro'!$A$4:$BG$78"}</definedName>
    <definedName name="dwsdad" hidden="1">{"'ReceitaLiquidaME'!$AA$25:$AN$32"}</definedName>
    <definedName name="e" hidden="1">{#N/A,#N/A,FALSE,"PCOL"}</definedName>
    <definedName name="edc" hidden="1">{"'gráf jan00'!$A$1:$AK$41"}</definedName>
    <definedName name="EEE" hidden="1">{"'gráf jan00'!$A$1:$AK$41"}</definedName>
    <definedName name="EFC" hidden="1">{"'RR'!$A$2:$E$81"}</definedName>
    <definedName name="EFCEletron" hidden="1">{"'RR'!$A$2:$E$81"}</definedName>
    <definedName name="EFVM" hidden="1">{"'RR'!$A$2:$E$81"}</definedName>
    <definedName name="EFVM2" hidden="1">{"'RR'!$A$2:$E$81"}</definedName>
    <definedName name="EFVM3" hidden="1">{"'RR'!$A$2:$E$81"}</definedName>
    <definedName name="EJI" hidden="1">{"'Quadro'!$A$4:$BG$78"}</definedName>
    <definedName name="ENCARGOS_SOCIAIS" localSheetId="5">#REF!</definedName>
    <definedName name="ENCARGOS_SOCIAIS" localSheetId="6">#REF!</definedName>
    <definedName name="ENCARGOS_SOCIAIS">#REF!</definedName>
    <definedName name="Equatorial" hidden="1">{#N/A,#N/A,FALSE,"TOTAL"}</definedName>
    <definedName name="EQUIPAMENTOS" localSheetId="5">#REF!</definedName>
    <definedName name="EQUIPAMENTOS" localSheetId="6">#REF!</definedName>
    <definedName name="EQUIPAMENTOS">#REF!</definedName>
    <definedName name="er" hidden="1">{"'gráf jan00'!$A$1:$AK$41"}</definedName>
    <definedName name="erb" hidden="1">{"'Quadro'!$A$4:$BG$78"}</definedName>
    <definedName name="erc" hidden="1">{"'RR'!$A$2:$E$81"}</definedName>
    <definedName name="erfgrew" hidden="1">{"'ReceitaLiquidaME'!$AA$25:$AN$32"}</definedName>
    <definedName name="erqwttew" hidden="1">{"'gráf jan00'!$A$1:$AK$41"}</definedName>
    <definedName name="ERRO" hidden="1">{"'CptDifn'!$AA$32:$AG$32"}</definedName>
    <definedName name="ERRO1" hidden="1">{"'CptDifn'!$AA$32:$AG$32"}</definedName>
    <definedName name="ERRO3" hidden="1">{"'CptDifn'!$AA$32:$AG$32"}</definedName>
    <definedName name="ERRO4" hidden="1">{"'CptDifn'!$AA$32:$AG$32"}</definedName>
    <definedName name="ERRO5" hidden="1">{"'CptDifn'!$AA$32:$AG$32"}</definedName>
    <definedName name="ERRO6" hidden="1">{"'CptDifn'!$AA$32:$AG$32"}</definedName>
    <definedName name="ERRRRRRRRRRRRRRRO" hidden="1">{"'CptDifn'!$AA$32:$AG$32"}</definedName>
    <definedName name="est" hidden="1">{"'teste'!$B$2:$R$49"}</definedName>
    <definedName name="est_B" hidden="1">{#N/A,#N/A,FALSE,"PCOL"}</definedName>
    <definedName name="et" hidden="1">{"'teste'!$B$2:$R$49"}</definedName>
    <definedName name="eU" hidden="1">{#N/A,#N/A,FALSE,"PCOL"}</definedName>
    <definedName name="ev.Calculation" hidden="1">-4135</definedName>
    <definedName name="ev.Initialized" hidden="1">FALSE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wf" hidden="1">{#N/A,#N/A,FALSE,"PCOL"}</definedName>
    <definedName name="ewrtwe" hidden="1">{"'gráf jan00'!$A$1:$AK$41"}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" hidden="1">{"'gráf jan00'!$A$1:$AK$41"}</definedName>
    <definedName name="FAROL_2" hidden="1">{"'gráf jan00'!$A$1:$AK$41"}</definedName>
    <definedName name="fasd" hidden="1">{"'gráf jan00'!$A$1:$AK$41"}</definedName>
    <definedName name="fasdfasfdadsf" hidden="1">{"'gráf jan00'!$A$1:$AK$41"}</definedName>
    <definedName name="fasfas" hidden="1">{"'Quadro'!$A$4:$BG$78"}</definedName>
    <definedName name="FCA" localSheetId="3" hidden="1">{"'Quadro'!$A$4:$BG$78"}</definedName>
    <definedName name="FCA" hidden="1">{"'Quadro'!$A$4:$BG$78"}</definedName>
    <definedName name="fd" hidden="1">{"'Quadro'!$A$4:$BG$78"}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FDFDF" hidden="1">{"'gráf jan00'!$A$1:$AK$41"}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[14]Forecasts_VDF!#REF!</definedName>
    <definedName name="FDP_281_1_aSrv" hidden="1">[14]Forecasts_VDF!#REF!</definedName>
    <definedName name="FDP_282_1_aSrv" hidden="1">[14]Forecasts_VDF!#REF!</definedName>
    <definedName name="FDP_283_1_aSrv" hidden="1">[14]Forecasts_VDF!#REF!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ds" hidden="1">{"'gráf jan00'!$A$1:$AK$41"}</definedName>
    <definedName name="FDSFSD" hidden="1">{"'gráf jan00'!$A$1:$AK$41"}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iados">[13]Holidays!$A$2:$A$349</definedName>
    <definedName name="Fernanda" hidden="1">{#N/A,#N/A,TRUE,"indice";#N/A,#N/A,TRUE,"indicadores";#N/A,#N/A,TRUE,"comentarios"}</definedName>
    <definedName name="Fevereiro" hidden="1">{"'Quadro'!$A$4:$BG$78"}</definedName>
    <definedName name="ff" hidden="1">{"'gráf jan00'!$A$1:$AK$41"}</definedName>
    <definedName name="FFVP" hidden="1">{"'gráf jan00'!$A$1:$AK$41"}</definedName>
    <definedName name="FFVP1" hidden="1">{"'gráf jan00'!$A$1:$AK$41"}</definedName>
    <definedName name="FFVP10" hidden="1">{"'gráf jan00'!$A$1:$AK$41"}</definedName>
    <definedName name="FFVP11" hidden="1">{"'gráf jan00'!$A$1:$AK$41"}</definedName>
    <definedName name="FFVP12" hidden="1">{"'gráf jan00'!$A$1:$AK$41"}</definedName>
    <definedName name="FFVP13" hidden="1">{"'gráf jan00'!$A$1:$AK$41"}</definedName>
    <definedName name="FFVP14" hidden="1">{"'gráf jan00'!$A$1:$AK$41"}</definedName>
    <definedName name="FFVP15" hidden="1">{"'gráf jan00'!$A$1:$AK$41"}</definedName>
    <definedName name="FFVP16" hidden="1">{"'gráf jan00'!$A$1:$AK$41"}</definedName>
    <definedName name="FFVP2" hidden="1">{"'gráf jan00'!$A$1:$AK$41"}</definedName>
    <definedName name="FFVP3" hidden="1">{"'gráf jan00'!$A$1:$AK$41"}</definedName>
    <definedName name="FFVP4" hidden="1">{"'gráf jan00'!$A$1:$AK$41"}</definedName>
    <definedName name="ffvp43" hidden="1">{"'gráf jan00'!$A$1:$AK$41"}</definedName>
    <definedName name="FFVP5" hidden="1">{"'gráf jan00'!$A$1:$AK$41"}</definedName>
    <definedName name="FFVP6" hidden="1">{"'gráf jan00'!$A$1:$AK$41"}</definedName>
    <definedName name="FFVP7" hidden="1">{"'gráf jan00'!$A$1:$AK$41"}</definedName>
    <definedName name="FFVP8" hidden="1">{"'gráf jan00'!$A$1:$AK$41"}</definedName>
    <definedName name="FFVP9" hidden="1">{"'gráf jan00'!$A$1:$AK$41"}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RHGD" hidden="1">{#N/A,#N/A,FALSE,"PCOL"}</definedName>
    <definedName name="fgs" hidden="1">{"'gráf jan00'!$A$1:$AK$41"}</definedName>
    <definedName name="FHDZ" hidden="1">{"'gráf jan00'!$A$1:$AK$41"}</definedName>
    <definedName name="fhjhfj" hidden="1">{"'Quadro'!$A$4:$BG$78"}</definedName>
    <definedName name="fin" localSheetId="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c.Resumen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JASLJFIL" hidden="1">{"'gráf jan00'!$A$1:$AK$41"}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LXO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FolResumoFlorestas" hidden="1">{"'REL CUSTODIF'!$B$1:$H$72"}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WAESR" hidden="1">{"'Quadro'!$A$4:$BG$78"}</definedName>
    <definedName name="FSA" hidden="1">{"'Quadro'!$A$4:$BG$78"}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hidden="1">{"'gráf jan00'!$A$1:$AK$41"}</definedName>
    <definedName name="FSDF" hidden="1">{"'Quadro'!$A$4:$BG$78"}</definedName>
    <definedName name="FSDS" hidden="1">{"'gráf jan00'!$A$1:$AK$41"}</definedName>
    <definedName name="ftrr4" hidden="1">{#N/A,#N/A,FALSE,"PCOL"}</definedName>
    <definedName name="FTU" hidden="1">{"'Quadro'!$A$4:$BG$78"}</definedName>
    <definedName name="FUNCOES" localSheetId="5">#REF!</definedName>
    <definedName name="FUNCOES" localSheetId="6">#REF!</definedName>
    <definedName name="FUNCOES">#REF!</definedName>
    <definedName name="FUNCOES_INDIRETO" localSheetId="5">#REF!</definedName>
    <definedName name="FUNCOES_INDIRETO" localSheetId="6">#REF!</definedName>
    <definedName name="FUNCOES_INDIRETO">#REF!</definedName>
    <definedName name="GAMAN" hidden="1">{#N/A,#N/A,FALSE,"PCOL"}</definedName>
    <definedName name="GAMAR" hidden="1">{"'CptDifn'!$AA$32:$AG$32"}</definedName>
    <definedName name="GAMAR1" hidden="1">{"'CptDifn'!$AA$32:$AG$32"}</definedName>
    <definedName name="gamen" hidden="1">{#N/A,#N/A,FALSE,"PCOL"}</definedName>
    <definedName name="garug01" hidden="1">{"'REL CUSTODIF'!$B$1:$H$72"}</definedName>
    <definedName name="garug1" hidden="1">{#N/A,#N/A,FALSE,"PCOL"}</definedName>
    <definedName name="GASEG" hidden="1">{"'Quadro'!$A$4:$BG$78"}</definedName>
    <definedName name="GASOLINA" localSheetId="5">#REF!</definedName>
    <definedName name="GASOLINA" localSheetId="6">#REF!</definedName>
    <definedName name="GASOLINA">#REF!</definedName>
    <definedName name="GAVTG" hidden="1">{"'gráf jan00'!$A$1:$AK$41"}</definedName>
    <definedName name="gdfg" hidden="1">{"'gráf jan00'!$A$1:$AK$41"}</definedName>
    <definedName name="GDS" hidden="1">{"'Quadro'!$A$4:$BG$78"}</definedName>
    <definedName name="gemin" hidden="1">{#N/A,#N/A,FALSE,"PCOL"}</definedName>
    <definedName name="Gemop" hidden="1">{#N/A,#N/A,TRUE,"indice";#N/A,#N/A,TRUE,"indicadores";#N/A,#N/A,TRUE,"comentarios"}</definedName>
    <definedName name="getep" hidden="1">{#N/A,#N/A,TRUE,"indice";#N/A,#N/A,TRUE,"indicadores";#N/A,#N/A,TRUE,"comentarios"}</definedName>
    <definedName name="GFD" hidden="1">{"'gráf jan00'!$A$1:$AK$41"}</definedName>
    <definedName name="gfjfgjfgj" hidden="1">{"'teste'!$B$2:$R$49"}</definedName>
    <definedName name="gfjyf" hidden="1">{"'gráf jan00'!$A$1:$AK$41"}</definedName>
    <definedName name="gg" localSheetId="3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" hidden="1">{"'REL CUSTODIF'!$B$1:$H$72"}</definedName>
    <definedName name="gggggg" hidden="1">{"'ReceitaLiquidaME'!$AA$25:$AN$32"}</definedName>
    <definedName name="ggtggg" hidden="1">{#N/A,#N/A,FALSE,"DEF1";#N/A,#N/A,FALSE,"DEF2";#N/A,#N/A,FALSE,"DEF3"}</definedName>
    <definedName name="GHJJKGK" hidden="1">{"'gráf jan00'!$A$1:$AK$41"}</definedName>
    <definedName name="gr" hidden="1">{"'IndicadoresRH'!$AA$50:$AP$67"}</definedName>
    <definedName name="GRAF_10A" hidden="1">{#N/A,#N/A,FALSE,"SITUAÇÃO DIÁRIA ";#N/A,#N/A,FALSE,"7 à 7"}</definedName>
    <definedName name="GRAF_11A" hidden="1">{#N/A,#N/A,FALSE,"SITUAÇÃO DIÁRIA ";#N/A,#N/A,FALSE,"7 à 7"}</definedName>
    <definedName name="GRAF_12A" hidden="1">{#N/A,#N/A,FALSE,"SITUAÇÃO DIÁRIA ";#N/A,#N/A,FALSE,"7 à 7"}</definedName>
    <definedName name="GRAF_21" hidden="1">{#N/A,#N/A,FALSE,"SITUAÇÃO DIÁRIA ";#N/A,#N/A,FALSE,"7 à 7"}</definedName>
    <definedName name="graf_3" hidden="1">{#N/A,#N/A,FALSE,"SITUAÇÃO DIÁRIA ";#N/A,#N/A,FALSE,"7 à 7"}</definedName>
    <definedName name="GráficoICD" hidden="1">#N/A</definedName>
    <definedName name="GRATIFICACAO_MOT" localSheetId="5">#REF!</definedName>
    <definedName name="GRATIFICACAO_MOT" localSheetId="6">#REF!</definedName>
    <definedName name="GRATIFICACAO_MOT">#REF!</definedName>
    <definedName name="grrrhr" hidden="1">{#N/A,#N/A,FALSE,"PCOL"}</definedName>
    <definedName name="grtgert" hidden="1">{#N/A,#N/A,TRUE,"indice";#N/A,#N/A,TRUE,"indicadores";#N/A,#N/A,TRUE,"comentarios"}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YU" hidden="1">{"'ReceitaLiquidaME'!$AA$25:$AN$32"}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fs" hidden="1">{"'gráf jan00'!$A$1:$AK$41"}</definedName>
    <definedName name="HGH" hidden="1">{"'gráf jan00'!$A$1:$AK$41"}</definedName>
    <definedName name="HGHJ" hidden="1">{"'Quadro'!$A$4:$BG$78"}</definedName>
    <definedName name="HGRET" hidden="1">{"'RR'!$A$2:$E$81"}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h" hidden="1">{"'gráf jan00'!$A$1:$AK$41"}</definedName>
    <definedName name="hhhhhh" hidden="1">{"'ReceitaLiquidaME'!$AA$25:$AN$32"}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lç" hidden="1">{"'Quadro'!$A$4:$BG$78"}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tmal_control3" hidden="1">{"'RR'!$A$2:$E$81"}</definedName>
    <definedName name="htmal_control4" hidden="1">{"'RR'!$A$2:$E$81"}</definedName>
    <definedName name="htmal_control5" hidden="1">{"'RR'!$A$2:$E$81"}</definedName>
    <definedName name="htmal_control6" hidden="1">{"'RR'!$A$2:$E$81"}</definedName>
    <definedName name="htmal_control7" hidden="1">{"'RR'!$A$2:$E$81"}</definedName>
    <definedName name="htmal_control8" hidden="1">{"'RR'!$A$2:$E$81"}</definedName>
    <definedName name="HTML" hidden="1">FALSE</definedName>
    <definedName name="HTML_CodePage" hidden="1">1252</definedName>
    <definedName name="HTML_Control" localSheetId="3" hidden="1">{"'RR'!$A$2:$E$81"}</definedName>
    <definedName name="HTML_Control" hidden="1">{"'Índice'!$A$1:$K$49"}</definedName>
    <definedName name="HTML_Control_2" hidden="1">{"'ReceitaLiquidaME'!$AA$25:$AN$32"}</definedName>
    <definedName name="HTML_Control1" hidden="1">{"'Placar Intranet'!$A$2:$K$24"}</definedName>
    <definedName name="html_control10" hidden="1">{"'RR'!$A$2:$E$81"}</definedName>
    <definedName name="html_control11" hidden="1">{"'RR'!$A$2:$E$81"}</definedName>
    <definedName name="html_control12" hidden="1">{"'RR'!$A$2:$E$81"}</definedName>
    <definedName name="html_control13" hidden="1">{"'RR'!$A$2:$E$81"}</definedName>
    <definedName name="html_control14" hidden="1">{"'RR'!$A$2:$E$81"}</definedName>
    <definedName name="html_control2" hidden="1">{"'RR'!$A$2:$E$81"}</definedName>
    <definedName name="HTML_CONTROL20" hidden="1">{"'RR'!$A$2:$E$81"}</definedName>
    <definedName name="HTML_CONTROL21" hidden="1">{"'RR'!$A$2:$E$81"}</definedName>
    <definedName name="HTML_Description" hidden="1">""</definedName>
    <definedName name="HTML_Email" hidden="1">""</definedName>
    <definedName name="HTML_Header" localSheetId="3" hidden="1">"Sheet1"</definedName>
    <definedName name="HTML_Header" hidden="1">"WBS Model"</definedName>
    <definedName name="HTML_LastUpdate" localSheetId="3" hidden="1">"2/24/99"</definedName>
    <definedName name="HTML_LastUpdate" hidden="1">"04/07/2001"</definedName>
    <definedName name="HTML_LineAfter" localSheetId="3" hidden="1">TRUE</definedName>
    <definedName name="HTML_LineAfter" hidden="1">FALSE</definedName>
    <definedName name="HTML_LineBefore" localSheetId="3" hidden="1">TRUE</definedName>
    <definedName name="HTML_LineBefore" hidden="1">FALSE</definedName>
    <definedName name="HTML_Name" localSheetId="3" hidden="1">"Aswath Damodaran"</definedName>
    <definedName name="HTML_Name" hidden="1">"Christian Jousselin"</definedName>
    <definedName name="HTML_OBDlg2" hidden="1">TRUE</definedName>
    <definedName name="HTML_OBDlg4" hidden="1">TRUE</definedName>
    <definedName name="HTML_OS" localSheetId="3" hidden="1">1</definedName>
    <definedName name="HTML_OS" hidden="1">0</definedName>
    <definedName name="HTML_PathFile" localSheetId="3" hidden="1">"C:\Intranet\Todos os Indicadores\MeuHTML.htm"</definedName>
    <definedName name="HTML_PathFile" hidden="1">"C:\Mes Documents\Capital\management de projet\wbs\WBS.htm"</definedName>
    <definedName name="HTML_PathFileMac" hidden="1">"Macintosh HD:HomePageStuff:New_Home_Page:datafile:histret.html"</definedName>
    <definedName name="HTML_Title" localSheetId="3" hidden="1">"Historical Returns on Stocks, Bonds and Bills"</definedName>
    <definedName name="HTML_Title" hidden="1">"WBS"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hidden="1">{"'gráf jan00'!$A$1:$AK$41"}</definedName>
    <definedName name="icd" hidden="1">{"'CptDifn'!$AA$32:$AG$32"}</definedName>
    <definedName name="ICMS">'[13]Tax Assumptions'!$C$16</definedName>
    <definedName name="ICMS_CDR">'[13]Tax Assumptions'!$D$17</definedName>
    <definedName name="içuioç" hidden="1">{"'gráf jan00'!$A$1:$AK$41"}</definedName>
    <definedName name="Identificação_EFVM" hidden="1">{"'RR'!$A$2:$E$81"}</definedName>
    <definedName name="INDIRETO" localSheetId="5">#REF!</definedName>
    <definedName name="INDIRETO" localSheetId="6">#REF!</definedName>
    <definedName name="INDIRETO">#REF!</definedName>
    <definedName name="Inflación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ra" hidden="1">{"'Quadro'!$A$4:$BG$78"}</definedName>
    <definedName name="Intran" hidden="1">{"'teste'!$B$2:$R$49"}</definedName>
    <definedName name="inv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ECON_MENSAL" hidden="1">{#N/A,#N/A,FALSE,"DEF1";#N/A,#N/A,FALSE,"DEF2";#N/A,#N/A,FALSE,"DEF3"}</definedName>
    <definedName name="inv_financ_Mensal_desemb" hidden="1">{#N/A,#N/A,FALSE,"DEF1";#N/A,#N/A,FALSE,"DEF2";#N/A,#N/A,FALSE,"DEF3"}</definedName>
    <definedName name="inver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39965.6378009259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O" hidden="1">{"'Quadro'!$A$4:$BG$78"}</definedName>
    <definedName name="j" hidden="1">{"'CptDifn'!$AA$32:$AG$32"}</definedName>
    <definedName name="jjjj" hidden="1">{"'Quadro'!$A$4:$BG$78"}</definedName>
    <definedName name="JK" hidden="1">{#N/A,#N/A,FALSE,"PCOL"}</definedName>
    <definedName name="JKBGKIJNH" hidden="1">{"'gráf jan00'!$A$1:$AK$41"}</definedName>
    <definedName name="jrmds" hidden="1">{"'CptDifn'!$AA$32:$AG$32"}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u" hidden="1">{"'gráf jan00'!$A$1:$AK$41"}</definedName>
    <definedName name="juhi" hidden="1">{#N/A,#N/A,FALSE,"PCOL"}</definedName>
    <definedName name="jujk" hidden="1">{#N/A,#N/A,FALSE,"PCOL"}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djfkdi" hidden="1">{"'gráf jan00'!$A$1:$AK$41"}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hgjk" hidden="1">{"'gráf jan00'!$A$1:$AK$41"}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jm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lçlç" hidden="1">{"'gráf jan00'!$A$1:$AK$41"}</definedName>
    <definedName name="ko" hidden="1">{#N/A,#N/A,FALSE,"PCOL"}</definedName>
    <definedName name="lab" hidden="1">{"'gráf jan00'!$A$1:$AK$41"}</definedName>
    <definedName name="LAVAGEM_CAM" localSheetId="5">#REF!</definedName>
    <definedName name="LAVAGEM_CAM" localSheetId="6">#REF!</definedName>
    <definedName name="LAVAGEM_CAM">#REF!</definedName>
    <definedName name="leonardo" hidden="1">{"'gráf jan00'!$A$1:$AK$41"}</definedName>
    <definedName name="let" hidden="1">"Quadro Logistico Maio"</definedName>
    <definedName name="limcount" hidden="1">1</definedName>
    <definedName name="liutlliutlk" hidden="1">{#N/A,#N/A,FALSE,"PCOL"}</definedName>
    <definedName name="ljkhj" hidden="1">{"'gráf jan00'!$A$1:$AK$41"}</definedName>
    <definedName name="LKJ" hidden="1">{"'Quadro'!$A$4:$BG$78"}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l" hidden="1">{#N/A,#N/A,FALSE,"BOQCIC";#N/A,#N/A,FALSE,"3Ds";#N/A,#N/A,FALSE,"COST DETAIL"}</definedName>
    <definedName name="llll" hidden="1">{"'gráf jan00'!$A$1:$AK$41"}</definedName>
    <definedName name="lllll" hidden="1">{"'gráf jan00'!$A$1:$AK$41"}</definedName>
    <definedName name="LOCAL" hidden="1">{"'gráf jan00'!$A$1:$AK$41"}</definedName>
    <definedName name="LogicaCDR">'[13]Summary &amp; Charts'!$D$58</definedName>
    <definedName name="lolo" hidden="1">{"'gráf jan00'!$A$1:$AK$41"}</definedName>
    <definedName name="lon" hidden="1">{"'gráf jan00'!$A$1:$AK$41"}</definedName>
    <definedName name="LoteBonito2" hidden="1">{"'Resumo2'!$B$2:$J$23"}</definedName>
    <definedName name="LteSe" hidden="1">{"'CptDifn'!$AA$32:$AG$32"}</definedName>
    <definedName name="LU" hidden="1">{"'gráf jan00'!$A$1:$AK$41"}</definedName>
    <definedName name="man" hidden="1">{"'gráf jan00'!$A$1:$AK$41"}</definedName>
    <definedName name="manut" hidden="1">{"'gráf jan00'!$A$1:$AK$41"}</definedName>
    <definedName name="marcelo" hidden="1">{"'gráf jan00'!$A$1:$AK$41"}</definedName>
    <definedName name="MARIA" hidden="1">{"'gráf jan00'!$A$1:$AK$41"}</definedName>
    <definedName name="Mario" hidden="1">{#N/A,#N/A,FALSE,"SITUAÇÃO DIÁRIA ";#N/A,#N/A,FALSE,"7 à 7"}</definedName>
    <definedName name="Mengo" hidden="1">[11]Graficos!#REF!</definedName>
    <definedName name="mercia" hidden="1">{"'REL CUSTODIF'!$B$1:$H$72"}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tasantigas" hidden="1">{"'gráf jan00'!$A$1:$AK$41"}</definedName>
    <definedName name="MMM" hidden="1">{"'gráf jan00'!$A$1:$AK$41"}</definedName>
    <definedName name="mmmm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mmmmm" localSheetId="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A" hidden="1">{#N/A,#N/A,FALSE,"DEF1";#N/A,#N/A,FALSE,"DEF2";#N/A,#N/A,FALSE,"DEF3"}</definedName>
    <definedName name="MODELO" hidden="1">{#N/A,#N/A,FALSE,"SITUAÇÃO DIÁRIA ";#N/A,#N/A,FALSE,"7 à 7"}</definedName>
    <definedName name="MONITORAMENTO" localSheetId="5">#REF!</definedName>
    <definedName name="MONITORAMENTO" localSheetId="6">#REF!</definedName>
    <definedName name="MONITORAMENTO">#REF!</definedName>
    <definedName name="MULHRT" hidden="1">{"'gráf jan00'!$A$1:$AK$41"}</definedName>
    <definedName name="N.Ferrosos" hidden="1">{"'CptDifn'!$AA$32:$AG$32"}</definedName>
    <definedName name="negócio" hidden="1">{"'gráf jan00'!$A$1:$AK$41"}</definedName>
    <definedName name="NNNN" hidden="1">{"'gráf jan00'!$A$1:$AK$41"}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a" hidden="1">{"'Quadro'!$A$4:$BG$78"}</definedName>
    <definedName name="NOVO" hidden="1">{#N/A,#N/A,FALSE,"BOQCIC";#N/A,#N/A,FALSE,"3Ds";#N/A,#N/A,FALSE,"COST DETAIL"}</definedName>
    <definedName name="novo_nome" hidden="1">{#N/A,#N/A,FALSE,"31 - Balanço";#N/A,#N/A,FALSE,"41 - Resultado";#N/A,#N/A,FALSE,"51 - Fluxo de Caixa"}</definedName>
    <definedName name="now" hidden="1">{"'Quadro'!$A$4:$BG$78"}</definedName>
    <definedName name="o" localSheetId="5" hidden="1">#REF!</definedName>
    <definedName name="o" localSheetId="6" hidden="1">#REF!</definedName>
    <definedName name="o" hidden="1">#REF!</definedName>
    <definedName name="OA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rçamento" hidden="1">{#N/A,#N/A,FALSE,"TOTAL"}</definedName>
    <definedName name="origen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UTUBRO" hidden="1">{#N/A,#N/A,FALSE,"SITUAÇÃO DIÁRIA ";#N/A,#N/A,FALSE,"7 à 7"}</definedName>
    <definedName name="P" hidden="1">{"'gráf jan00'!$A$1:$AK$41"}</definedName>
    <definedName name="parada" hidden="1">{"'gráf jan00'!$A$1:$AK$41"}</definedName>
    <definedName name="pata" hidden="1">{#N/A,#N/A,FALSE,"SITUAÇÃO DIÁRIA ";#N/A,#N/A,FALSE,"7 à 7"}</definedName>
    <definedName name="PAZ.COM.N" hidden="1">{"'TelRDAV'!$A$1:$T$20"}</definedName>
    <definedName name="PDCA" hidden="1">{"'RR'!$A$2:$E$81"}</definedName>
    <definedName name="PEV" hidden="1">{"'Quadro'!$A$4:$BG$78"}</definedName>
    <definedName name="pgr" hidden="1">{"'Quadro'!$A$4:$BG$78"}</definedName>
    <definedName name="pis_presumido">'[13]Tax Assumptions'!$C$14</definedName>
    <definedName name="pis_real">'[13]Tax Assumptions'!$D$14</definedName>
    <definedName name="PISO_SALARIAL" localSheetId="5">#REF!</definedName>
    <definedName name="PISO_SALARIAL" localSheetId="6">#REF!</definedName>
    <definedName name="PISO_SALARIAL">#REF!</definedName>
    <definedName name="pnow" hidden="1">{"'gráf jan00'!$A$1:$AK$41"}</definedName>
    <definedName name="Portos1" hidden="1">{"'RR'!$A$2:$E$81"}</definedName>
    <definedName name="pp" hidden="1">{"'REL CUSTODIF'!$B$1:$H$72"}</definedName>
    <definedName name="ppppp" localSheetId="5" hidden="1">#REF!</definedName>
    <definedName name="ppppp" localSheetId="6" hidden="1">#REF!</definedName>
    <definedName name="ppppp" hidden="1">#REF!</definedName>
    <definedName name="PPRA" hidden="1">{"'CptDifn'!$AA$32:$AG$32"}</definedName>
    <definedName name="Previsao" hidden="1">{"'Índice'!$A$1:$K$49"}</definedName>
    <definedName name="Print_Area" localSheetId="0">'DF (PMI)'!$A$1:$AK$347</definedName>
    <definedName name="Print_Area" localSheetId="1">'Resumo contraprestação'!$A$1:$E$24</definedName>
    <definedName name="Print_Titles" localSheetId="0">'DF (PMI)'!$A:$Q,'DF (PMI)'!$1:$5</definedName>
    <definedName name="Prog.Excel._Set" hidden="1">{"'teste'!$B$2:$R$49"}</definedName>
    <definedName name="Programado" hidden="1">{"'teste'!$B$2:$R$49"}</definedName>
    <definedName name="proposta" hidden="1">{"'Quadro'!$A$4:$BG$78"}</definedName>
    <definedName name="PRRA" hidden="1">{"'CptDifn'!$AA$32:$AG$32"}</definedName>
    <definedName name="q" localSheetId="3" hidden="1">{"'CptDifn'!$AA$32:$AG$32"}</definedName>
    <definedName name="q" hidden="1">{"'Índice'!$A$1:$K$49"}</definedName>
    <definedName name="qaz" hidden="1">{"'gráf jan00'!$A$1:$AK$41"}</definedName>
    <definedName name="QQ" localSheetId="3" hidden="1">{"'gráf jan00'!$A$1:$AK$41"}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ASW" hidden="1">{"'Quadro'!$A$4:$BG$78"}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localSheetId="3" hidden="1">{"'gráf jan00'!$A$1:$AK$41"}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localSheetId="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localSheetId="3" hidden="1">{"'gráf jan00'!$A$1:$AK$41"}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localSheetId="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localSheetId="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localSheetId="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qqq" hidden="1">{"'Quadro'!$A$4:$BG$78"}</definedName>
    <definedName name="Qualidade_050106" hidden="1">{#N/A,#N/A,FALSE,"RELATÓRIO";#N/A,#N/A,FALSE,"RELATÓRIO"}</definedName>
    <definedName name="que" hidden="1">{#N/A,#N/A,FALSE,"PCOL"}</definedName>
    <definedName name="QUQT" hidden="1">{"'gráf jan00'!$A$1:$AK$41"}</definedName>
    <definedName name="QW" hidden="1">{#N/A,#N/A,TRUE,"K2 e MEIA";#N/A,#N/A,TRUE,"K3";#N/A,#N/A,TRUE,"K4";#N/A,#N/A,TRUE,"PERFIL U";#N/A,#N/A,TRUE,"BCHA"}</definedName>
    <definedName name="qwerqwe" hidden="1">{"'gráf jan00'!$A$1:$AK$41"}</definedName>
    <definedName name="qwqq" hidden="1">{#N/A,#N/A,FALSE,"PCOL"}</definedName>
    <definedName name="qwqw" hidden="1">{#N/A,#N/A,FALSE,"PCOL"}</definedName>
    <definedName name="qwqweq" hidden="1">{#N/A,#N/A,FALSE,"PCOL"}</definedName>
    <definedName name="qwqwq" hidden="1">{#N/A,#N/A,FALSE,"PCOL"}</definedName>
    <definedName name="qwqwsq" hidden="1">{#N/A,#N/A,FALSE,"PCOL"}</definedName>
    <definedName name="ra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RangeChange" hidden="1">#N/A</definedName>
    <definedName name="rascuho" localSheetId="5" hidden="1">#REF!</definedName>
    <definedName name="rascuho" localSheetId="6" hidden="1">#REF!</definedName>
    <definedName name="rascuho" hidden="1">#REF!</definedName>
    <definedName name="RDTEA" hidden="1">{"'Quadro'!$A$4:$BG$78"}</definedName>
    <definedName name="reducao" hidden="1">{"'171'!$A$1:$Z$50"}</definedName>
    <definedName name="Rel" hidden="1">{"'CptDifn'!$AA$32:$AG$32"}</definedName>
    <definedName name="rerer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RES" hidden="1">{"'Quadro'!$A$4:$BG$78"}</definedName>
    <definedName name="Resumo1" hidden="1">{"'teste'!$B$2:$R$49"}</definedName>
    <definedName name="RET" hidden="1">{"'Quadro'!$A$4:$BG$78"}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wtry" hidden="1">{"'gráf jan00'!$A$1:$AK$41"}</definedName>
    <definedName name="RFTY" hidden="1">{"'Quadro'!$A$4:$BG$78"}</definedName>
    <definedName name="rfv" hidden="1">{"'gráf jan00'!$A$1:$AK$41"}</definedName>
    <definedName name="Roçada" localSheetId="5" hidden="1">#REF!</definedName>
    <definedName name="Roçada" localSheetId="6" hidden="1">#REF!</definedName>
    <definedName name="Roçada" hidden="1">#REF!</definedName>
    <definedName name="rr" hidden="1">{"'CptDifn'!$AA$32:$AG$32"}</definedName>
    <definedName name="rrr" hidden="1">{#N/A,#N/A,FALSE,"PCOL"}</definedName>
    <definedName name="rt" hidden="1">{"'gráf jan00'!$A$1:$AK$41"}</definedName>
    <definedName name="rwywy" hidden="1">{"'gráf jan00'!$A$1:$AK$41"}</definedName>
    <definedName name="rywrtyw" hidden="1">{"'gráf jan00'!$A$1:$AK$41"}</definedName>
    <definedName name="s" hidden="1">{"'CptDifn'!$AA$32:$AG$32"}</definedName>
    <definedName name="sa" hidden="1">{"'Quadro'!$A$4:$BG$78"}</definedName>
    <definedName name="SAAF" hidden="1">{"'Quadro'!$A$4:$BG$78"}</definedName>
    <definedName name="sac" hidden="1">{#N/A,#N/A,FALSE,"PCOL"}</definedName>
    <definedName name="SAFEW" hidden="1">{"'CptDifn'!$AA$32:$AG$32"}</definedName>
    <definedName name="saquinho" hidden="1">{#N/A,#N/A,FALSE,"PCOL"}</definedName>
    <definedName name="SAR" hidden="1">{"'Quadro'!$A$4:$BG$78"}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a" hidden="1">{"'gráf jan00'!$A$1:$AK$41"}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dasd" hidden="1">{"'Quadro'!$A$4:$BG$78"}</definedName>
    <definedName name="sdfasf" hidden="1">{"'RR'!$A$2:$E$81"}</definedName>
    <definedName name="SDFFDFDF" hidden="1">{"'gráf jan00'!$A$1:$AK$41"}</definedName>
    <definedName name="sdfhlksjdf" hidden="1">{"'Quadro'!$A$4:$BG$78"}</definedName>
    <definedName name="sdifu" hidden="1">{"'gráf jan00'!$A$1:$AK$41"}</definedName>
    <definedName name="sdivd" hidden="1">{"'gráf jan00'!$A$1:$AK$41"}</definedName>
    <definedName name="sdrte" hidden="1">{#N/A,#N/A,FALSE,"PCOL"}</definedName>
    <definedName name="sdsdf" hidden="1">{"'Quadro'!$A$4:$BG$78"}</definedName>
    <definedName name="sduvhdv" hidden="1">{"'gráf jan00'!$A$1:$AK$41"}</definedName>
    <definedName name="SE" hidden="1">{"'Quadro'!$A$4:$BG$78"}</definedName>
    <definedName name="sencount" hidden="1">1</definedName>
    <definedName name="SER" hidden="1">{"'Quadro'!$A$4:$BG$78"}</definedName>
    <definedName name="SERVICOS" localSheetId="5">#REF!</definedName>
    <definedName name="SERVICOS" localSheetId="6">#REF!</definedName>
    <definedName name="SERVICOS">#REF!</definedName>
    <definedName name="SF" hidden="1">{"'Quadro'!$A$4:$BG$78"}</definedName>
    <definedName name="SFD" hidden="1">{"'Quadro'!$A$4:$BG$78"}</definedName>
    <definedName name="SFR" hidden="1">{"'Quadro'!$A$4:$BG$78"}</definedName>
    <definedName name="sidhjvcvid" hidden="1">{"'gráf jan00'!$A$1:$AK$41"}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hidden="1">[15]Premissas!$Z$166,[15]Premissas!$Z$161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localSheetId="3" hidden="1">1</definedName>
    <definedName name="solver_num" hidden="1">0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localSheetId="3" hidden="1">106.196</definedName>
    <definedName name="solver_val" hidden="1">19.66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DF" hidden="1">{"'Quadro'!$A$4:$BG$78"}</definedName>
    <definedName name="sss" hidden="1">{"'CptDifn'!$AA$32:$AG$32"}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UMMARY" hidden="1">{#N/A,#N/A,FALSE,"BOQCIC";#N/A,#N/A,FALSE,"3Ds"}</definedName>
    <definedName name="SVSV" hidden="1">{"'CptDifn'!$AA$32:$AG$32"}</definedName>
    <definedName name="SWE" hidden="1">{"'Quadro'!$A$4:$BG$78"}</definedName>
    <definedName name="SWR" hidden="1">{"'Quadro'!$A$4:$BG$78"}</definedName>
    <definedName name="t" hidden="1">{"'CptDifn'!$AA$32:$AG$32"}</definedName>
    <definedName name="t4wy45w3" hidden="1">{#N/A,#N/A,FALSE,"PCOL"}</definedName>
    <definedName name="TEMP" localSheetId="3" hidden="1">{#N/A,#N/A,FALSE,"PCOL"}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mpo" hidden="1">{#N/A,#N/A,FALSE,"PCOL"}</definedName>
    <definedName name="teste" localSheetId="3" hidden="1">{"'RR'!$A$2:$E$81"}</definedName>
    <definedName name="teste" localSheetId="5" hidden="1">'[16]fluxo de caixa'!#REF!</definedName>
    <definedName name="teste" localSheetId="6" hidden="1">'[16]fluxo de caixa'!#REF!</definedName>
    <definedName name="teste" hidden="1">'[16]fluxo de caixa'!#REF!</definedName>
    <definedName name="TextRefCopyRangeCount" hidden="1">4</definedName>
    <definedName name="tgb" hidden="1">{"'gráf jan00'!$A$1:$AK$41"}</definedName>
    <definedName name="THF" hidden="1">{#N/A,#N/A,FALSE,"PCOL"}</definedName>
    <definedName name="THR" hidden="1">{"'gráf jan00'!$A$1:$AK$41"}</definedName>
    <definedName name="THTRHT" hidden="1">{"'gráf jan00'!$A$1:$AK$41"}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ran" hidden="1">{"'Quadro'!$A$4:$BG$78"}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m" hidden="1">{"'gráf jan00'!$A$1:$AK$41"}</definedName>
    <definedName name="trezeabril" hidden="1">{"'gráf jan00'!$A$1:$AK$41"}</definedName>
    <definedName name="TREZEABRILL" hidden="1">{"'gráf jan00'!$A$1:$AK$41"}</definedName>
    <definedName name="trezeagosto" hidden="1">{"'gráf jan00'!$A$1:$AK$41"}</definedName>
    <definedName name="trezeagosto2" hidden="1">{"'gráf jan00'!$A$1:$AK$41"}</definedName>
    <definedName name="trezeagosto3" hidden="1">{"'gráf jan00'!$A$1:$AK$41"}</definedName>
    <definedName name="trezeagosto4" hidden="1">{"'gráf jan00'!$A$1:$AK$41"}</definedName>
    <definedName name="trezeagosto5" hidden="1">{"'gráf jan00'!$A$1:$AK$41"}</definedName>
    <definedName name="trezeagosto6" hidden="1">{"'gráf jan00'!$A$1:$AK$41"}</definedName>
    <definedName name="trezeagosto7" hidden="1">{"'gráf jan00'!$A$1:$AK$41"}</definedName>
    <definedName name="trezeagosto8" hidden="1">{"'gráf jan00'!$A$1:$AK$41"}</definedName>
    <definedName name="trezejulho" hidden="1">{"'gráf jan00'!$A$1:$AK$41"}</definedName>
    <definedName name="trezejulho2" hidden="1">{"'gráf jan00'!$A$1:$AK$41"}</definedName>
    <definedName name="trezejulho3" hidden="1">{"'gráf jan00'!$A$1:$AK$41"}</definedName>
    <definedName name="trezejun" hidden="1">{"'gráf jan00'!$A$1:$AK$41"}</definedName>
    <definedName name="trezejunho" hidden="1">{"'gráf jan00'!$A$1:$AK$41"}</definedName>
    <definedName name="trezejunnho" hidden="1">{"'gráf jan00'!$A$1:$AK$41"}</definedName>
    <definedName name="trezemarço" hidden="1">{"'gráf jan00'!$A$1:$AK$41"}</definedName>
    <definedName name="trt" hidden="1">{"'gráf jan00'!$A$1:$AK$41"}</definedName>
    <definedName name="TRYU" hidden="1">{"'Quadro'!$A$4:$BG$78"}</definedName>
    <definedName name="TTER" hidden="1">{"'Quadro'!$A$4:$BG$78"}</definedName>
    <definedName name="TTT" hidden="1">{"'gráf jan00'!$A$1:$AK$41"}</definedName>
    <definedName name="TTTT" hidden="1">{"'gráf jan00'!$A$1:$AK$41"}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U" hidden="1">{"'Quadro'!$A$4:$BG$78"}</definedName>
    <definedName name="ujm" hidden="1">{"'gráf jan00'!$A$1:$AK$41"}</definedName>
    <definedName name="uoluyk" hidden="1">{#N/A,#N/A,TRUE,"indice";#N/A,#N/A,TRUE,"indicadores";#N/A,#N/A,TRUE,"comentarios"}</definedName>
    <definedName name="USD" hidden="1">[17]Apoio!$D$5</definedName>
    <definedName name="uu" hidden="1">{"'REL CUSTODIF'!$B$1:$H$72"}</definedName>
    <definedName name="uuuu" hidden="1">{#N/A,#N/A,FALSE,"BOQCIC";#N/A,#N/A,FALSE,"3Ds";#N/A,#N/A,FALSE,"COST DETAIL"}</definedName>
    <definedName name="v" hidden="1">{#N/A,#N/A,FALSE,"PCOL"}</definedName>
    <definedName name="VA_SINDILIMP" localSheetId="5">#REF!</definedName>
    <definedName name="VA_SINDILIMP" localSheetId="6">#REF!</definedName>
    <definedName name="VA_SINDILIMP">#REF!</definedName>
    <definedName name="VA_SINDIRODOVIARIOS" localSheetId="5">#REF!</definedName>
    <definedName name="VA_SINDIRODOVIARIOS" localSheetId="6">#REF!</definedName>
    <definedName name="VA_SINDIRODOVIARIOS">#REF!</definedName>
    <definedName name="valter" hidden="1">{"'gráf jan00'!$A$1:$AK$41"}</definedName>
    <definedName name="Volume" hidden="1">{"'CptDifn'!$AA$32:$AG$32"}</definedName>
    <definedName name="vp" hidden="1">{"'Quadro'!$A$4:$BG$78"}</definedName>
    <definedName name="vProjResumo">[18]Resumo_Esp!#REF!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zVA" hidden="1">{#N/A,#N/A,FALSE,"PCOL"}</definedName>
    <definedName name="wadfaw" hidden="1">{#N/A,#N/A,TRUE,"indice";#N/A,#N/A,TRUE,"indicadores";#N/A,#N/A,TRUE,"comentarios"}</definedName>
    <definedName name="wdewdwd" hidden="1">{#N/A,#N/A,FALSE,"PCOL"}</definedName>
    <definedName name="wdwd" hidden="1">{#N/A,#N/A,FALSE,"PCOL"}</definedName>
    <definedName name="we" hidden="1">{"'gráf jan00'!$A$1:$AK$41"}</definedName>
    <definedName name="wed" hidden="1">[19]!wed</definedName>
    <definedName name="wedwedw" hidden="1">{#N/A,#N/A,FALSE,"PCOL"}</definedName>
    <definedName name="wedwew" hidden="1">{#N/A,#N/A,FALSE,"PCOL"}</definedName>
    <definedName name="wef" hidden="1">{"'gráf jan00'!$A$1:$AK$41"}</definedName>
    <definedName name="werqtwert" hidden="1">{"'Quadro'!$A$4:$BG$78"}</definedName>
    <definedName name="wewe" hidden="1">{#N/A,#N/A,FALSE,"PCOL"}</definedName>
    <definedName name="wewedwedw" hidden="1">{#N/A,#N/A,FALSE,"PCOL"}</definedName>
    <definedName name="wewew" hidden="1">{#N/A,#N/A,FALSE,"PCOL"}</definedName>
    <definedName name="weywrty" hidden="1">{"'gráf jan00'!$A$1:$AK$41"}</definedName>
    <definedName name="WN" hidden="1">{#N/A,#N/A,FALSE,"31 - Balanço";#N/A,#N/A,FALSE,"41 - Resultado";#N/A,#N/A,FALSE,"51 - Fluxo de Caixa"}</definedName>
    <definedName name="wprf" hidden="1">{#N/A,#N/A,FALSE,"BOQCIC";#N/A,#N/A,FALSE,"3Ds";#N/A,#N/A,FALSE,"COST DETAIL"}</definedName>
    <definedName name="WR" hidden="1">{"'Quadro'!$A$4:$BG$78"}</definedName>
    <definedName name="wrn.Acquisition_matrix." hidden="1">{"Acq_matrix",#N/A,FALSE,"Acquisition Matrix"}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QUIROR._.DCF." hidden="1">{"AQUIRORDCF",#N/A,FALSE,"Merger consequences";"Acquirorassns",#N/A,FALSE,"Merger consequences"}</definedName>
    <definedName name="wrn.BOQCIC." hidden="1">{#N/A,#N/A,FALSE,"BOQCIC";#N/A,#N/A,FALSE,"3Ds";#N/A,#N/A,FALSE,"COST DETAIL"}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mentario." hidden="1">{#N/A,#N/A,FALSE,"PCOL"}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CO." hidden="1">{"Page1",#N/A,FALSE,"CompCo";"Page2",#N/A,FALSE,"CompCo"}</definedName>
    <definedName name="wrn.DCF_Terminal_Value_qchm." hidden="1">{"qchm_dcf",#N/A,FALSE,"QCHMDCF2";"qchm_terminal",#N/A,FALSE,"QCHMDCF2"}</definedName>
    <definedName name="wrn.def9806." hidden="1">{#N/A,#N/A,FALSE,"DEF1";#N/A,#N/A,FALSE,"DEF2";#N/A,#N/A,FALSE,"DEF3"}</definedName>
    <definedName name="wrn.Demonstrações._.Financeiras." hidden="1">{#N/A,#N/A,FALSE,"31 - Balanço";#N/A,#N/A,FALSE,"41 - Resultado";#N/A,#N/A,FALSE,"51 - Fluxo de Caixa"}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RELIMP." hidden="1">{#N/A,#N/A,FALSE,"FRETADOR";#N/A,#N/A,FALSE,"LOCADOR";#N/A,#N/A,FALSE,"TESPDOR";#N/A,#N/A,FALSE,"UNIDADEDOR"}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estudo._.lamnv." hidden="1">{#N/A,#N/A,TRUE,"K2 e MEIA";#N/A,#N/A,TRUE,"K3";#N/A,#N/A,TRUE,"K4";#N/A,#N/A,TRUE,"PERFIL U";#N/A,#N/A,TRUE,"BCHA"}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impresión." localSheetId="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localSheetId="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Model." localSheetId="3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orcai10.xls." hidden="1">{#N/A,#N/A,FALSE,"Orcaixa1";#N/A,#N/A,FALSE,"Orcaixa2"}</definedName>
    <definedName name="wrn.orcai11.xls" hidden="1">{#N/A,#N/A,FALSE,"Orcaixa1";#N/A,#N/A,FALSE,"Orcaixa2"}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rint." hidden="1">{"vi1",#N/A,FALSE,"Financial Statements";"vi2",#N/A,FALSE,"Financial Statements";#N/A,#N/A,FALSE,"DCF"}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All." hidden="1">{"PA1",#N/A,FALSE,"BORDMW";"pa2",#N/A,FALSE,"BORDMW";"PA3",#N/A,FALSE,"BORDMW";"PA4",#N/A,FALSE,"BORDMW"}</definedName>
    <definedName name="wrn.ptp." hidden="1">{#N/A,#N/A,FALSE,"RELATÓRIO";#N/A,#N/A,FALSE,"RELATÓRIO"}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MEN.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ITUAÇÃO._.DIÁRIA." hidden="1">{#N/A,#N/A,FALSE,"SITUAÇÃO DIÁRIA ";#N/A,#N/A,FALSE,"7 à 7"}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DCF." hidden="1">{"targetdcf",#N/A,FALSE,"Merger consequences";"TARGETASSU",#N/A,FALSE,"Merger consequences";"TERMINAL VALUE",#N/A,FALSE,"Merger consequences"}</definedName>
    <definedName name="wrn.teste." hidden="1">{#N/A,#N/A,TRUE,"indice";#N/A,#N/A,TRUE,"indicadores";#N/A,#N/A,TRUE,"comentarios"}</definedName>
    <definedName name="wrn.todo." hidden="1">{"Caja",#N/A,TRUE,"P&amp;G BG";"PyG",#N/A,TRUE,"P&amp;G BG";"Balance",#N/A,TRUE,"P&amp;G BG"}</definedName>
    <definedName name="wrn.total." hidden="1">{#N/A,#N/A,FALSE,"TOTAL"}</definedName>
    <definedName name="wrn.VENTAS." localSheetId="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localSheetId="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ywtyr" hidden="1">{"'gráf jan00'!$A$1:$AK$41"}</definedName>
    <definedName name="wsewew" hidden="1">{#N/A,#N/A,FALSE,"PCOL"}</definedName>
    <definedName name="wsx" hidden="1">{"'gráf jan00'!$A$1:$AK$41"}</definedName>
    <definedName name="wty" hidden="1">{"'gráf jan00'!$A$1:$AK$41"}</definedName>
    <definedName name="wvu.Print_Todo." localSheetId="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localSheetId="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" hidden="1">{"'teste'!$B$2:$R$49"}</definedName>
    <definedName name="WWWWWWWWWW" hidden="1">{"'gráf jan00'!$A$1:$AK$41"}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xcx" hidden="1">{"'gráf jan00'!$A$1:$AK$41"}</definedName>
    <definedName name="XDF" hidden="1">{"'Quadro'!$A$4:$BG$78"}</definedName>
    <definedName name="XREF_COLUMN_1" hidden="1">'[20]Despesas Antecipadas'!#REF!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'[21]Tickmarks '!$G$1:$G$65536</definedName>
    <definedName name="XREF_COLUMN_19" hidden="1">#REF!</definedName>
    <definedName name="XREF_COLUMN_2" hidden="1">'[20]Despesas Antecipadas'!#REF!</definedName>
    <definedName name="XREF_COLUMN_20" hidden="1">'[22]Mapa de Resultado'!#REF!</definedName>
    <definedName name="XREF_COLUMN_21" hidden="1">'[22]Mapa de Resultado'!#REF!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[23]Resumo!#REF!</definedName>
    <definedName name="XREF_COLUMN_9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2" hidden="1">'[22]Mapa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9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2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40Row" hidden="1">#REF!</definedName>
    <definedName name="XRefCopy43Row" hidden="1">#REF!</definedName>
    <definedName name="XRefCopy44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5Row" hidden="1">#REF!</definedName>
    <definedName name="XRefCopy56" hidden="1">#REF!</definedName>
    <definedName name="XRefCopy56Row" hidden="1">[22]XREF!#REF!</definedName>
    <definedName name="XRefCopy5Row" hidden="1">#REF!</definedName>
    <definedName name="XRefCopy6" hidden="1">#REF!</definedName>
    <definedName name="XRefCopy61" hidden="1">'[22]Mapa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[24]Lead!#REF!</definedName>
    <definedName name="XRefCopy80Row" hidden="1">#REF!</definedName>
    <definedName name="XRefCopy81" hidden="1">'[22]Mapa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'[23]Mapa Imobilizado'!#REF!</definedName>
    <definedName name="XRefCopy9Row" hidden="1">#REF!</definedName>
    <definedName name="XRefCopyRangeCount" hidden="1">3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'[22]Mapa de Resultado'!#REF!</definedName>
    <definedName name="XRefPaste117Row" hidden="1">#REF!</definedName>
    <definedName name="XRefPaste118" hidden="1">'[22]Mapa de Resultado'!#REF!</definedName>
    <definedName name="XRefPaste118Row" hidden="1">#REF!</definedName>
    <definedName name="XRefPaste119" hidden="1">'[22]Mapa de Resultado'!#REF!</definedName>
    <definedName name="XRefPaste119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'[22]Mapa de Resultado'!#REF!</definedName>
    <definedName name="XRefPaste139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'[22]Mapa de Resultado'!#REF!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36" hidden="1">#REF!</definedName>
    <definedName name="XRefPaste37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4" hidden="1">#REF!</definedName>
    <definedName name="XRefPaste44" hidden="1">'[22]Deposito Judicial'!#REF!</definedName>
    <definedName name="XRefPaste44Row" hidden="1">[22]XREF!#REF!</definedName>
    <definedName name="XRefPaste45" hidden="1">#REF!</definedName>
    <definedName name="XRefPaste45Row" hidden="1">[22]XREF!#REF!</definedName>
    <definedName name="XRefPaste56Row" hidden="1">#REF!</definedName>
    <definedName name="XRefPaste57Row" hidden="1">#REF!</definedName>
    <definedName name="XRefPaste59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9" hidden="1">#REF!</definedName>
    <definedName name="XRefPaste99Row" hidden="1">#REF!</definedName>
    <definedName name="XRefPasteRangeCount" hidden="1">1</definedName>
    <definedName name="xx" hidden="1">{"'Database'!$A$1:$F$130"}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yyy" hidden="1">{"'Quadro'!$A$4:$BG$78"}</definedName>
    <definedName name="y" hidden="1">{#N/A,#N/A,FALSE,"PCOL"}</definedName>
    <definedName name="yhn" hidden="1">{"'gráf jan00'!$A$1:$AK$41"}</definedName>
    <definedName name="yioy" hidden="1">{"'gráf jan00'!$A$1:$AK$41"}</definedName>
    <definedName name="yjhtrn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nr" hidden="1">{#N/A,#N/A,FALSE,"PCOL"}</definedName>
    <definedName name="YO" hidden="1">{"'Quadro'!$A$4:$BG$78"}</definedName>
    <definedName name="yukiuki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rtyutr" hidden="1">{"'gráf jan00'!$A$1:$AK$41"}</definedName>
    <definedName name="yy" hidden="1">{"'REL CUSTODIF'!$B$1:$H$72"}</definedName>
    <definedName name="Z_146D92FF_DFCA_47DC_9CF6_0D07F916365B_.wvu.Cols" hidden="1">#REF!,#REF!,#REF!,#REF!</definedName>
    <definedName name="Z_146D92FF_DFCA_47DC_9CF6_0D07F916365B_.wvu.FilterData" hidden="1">#REF!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10DF800_4D59_11D6_9DF9_0004AC9599ED_.wvu.Cols" hidden="1">'[25]Farol de Metas'!#REF!</definedName>
    <definedName name="Z_3DBF11C1_AF68_11D6_A998_000629AADC70_.wvu.FilterData" hidden="1">'[26]Dev.SAC '!$W$3:$Y$132</definedName>
    <definedName name="Z_44931E07_568C_11D5_BDEA_0004AC32B916_.wvu.Cols" hidden="1">'[25]Farol de Metas'!#REF!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89B24FFA_B8EE_11D6_9DF9_0004AC9599ED_.wvu.PrintArea" hidden="1">#REF!</definedName>
    <definedName name="Z_8BA4715C_EC6D_472D_8E7D_6B55C8A2D072_.wvu.Rows" hidden="1">'[27]BASE DE DADOS'!$A$15:$IV$16,'[27]BASE DE DADOS'!$A$17:$IV$18</definedName>
    <definedName name="Z_AF7625A3_E279_490C_86E2_6D0723D57A1E_.wvu.FilterData" hidden="1">'[26]Dev.SAC '!$W$3:$Y$132</definedName>
    <definedName name="Z_E24C1EE5_98CF_11D6_A72B_08005AA614B9_.wvu.PrintArea" hidden="1">#REF!</definedName>
    <definedName name="Z_EF7ECF05_99AF_11D6_8A55_0004AC55CD8B_.wvu.PrintArea" hidden="1">#REF!</definedName>
    <definedName name="ZDA\DS" hidden="1">{"'gráf jan00'!$A$1:$AK$41"}</definedName>
    <definedName name="zgfd" hidden="1">{"'gráf jan00'!$A$1:$AK$41"}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57" l="1"/>
  <c r="AE25" i="257" l="1"/>
  <c r="AF25" i="257"/>
  <c r="AG25" i="257"/>
  <c r="AH25" i="257"/>
  <c r="AI25" i="257"/>
  <c r="AJ25" i="257"/>
  <c r="AK25" i="257"/>
  <c r="AL25" i="257"/>
  <c r="AM25" i="257"/>
  <c r="AN25" i="257"/>
  <c r="AO25" i="257"/>
  <c r="G15" i="257"/>
  <c r="H15" i="257"/>
  <c r="I15" i="257"/>
  <c r="J15" i="257"/>
  <c r="K15" i="257"/>
  <c r="L15" i="257"/>
  <c r="M15" i="257"/>
  <c r="N15" i="257"/>
  <c r="O15" i="257"/>
  <c r="P15" i="257"/>
  <c r="Q15" i="257"/>
  <c r="R15" i="257"/>
  <c r="S15" i="257"/>
  <c r="T15" i="257"/>
  <c r="U15" i="257"/>
  <c r="V15" i="257"/>
  <c r="W15" i="257"/>
  <c r="X15" i="257"/>
  <c r="Y15" i="257"/>
  <c r="Z15" i="257"/>
  <c r="AA15" i="257"/>
  <c r="AB15" i="257"/>
  <c r="AC15" i="257"/>
  <c r="AC25" i="257" s="1"/>
  <c r="AD15" i="257"/>
  <c r="AD25" i="257" s="1"/>
  <c r="F15" i="257"/>
  <c r="F15" i="255" l="1"/>
  <c r="G16" i="255" l="1"/>
  <c r="H16" i="255"/>
  <c r="I16" i="255"/>
  <c r="J16" i="255"/>
  <c r="K16" i="255"/>
  <c r="L16" i="255"/>
  <c r="M16" i="255"/>
  <c r="N16" i="255"/>
  <c r="O16" i="255"/>
  <c r="P16" i="255"/>
  <c r="Q16" i="255"/>
  <c r="R16" i="255"/>
  <c r="S16" i="255"/>
  <c r="T16" i="255"/>
  <c r="U16" i="255"/>
  <c r="V16" i="255"/>
  <c r="W16" i="255"/>
  <c r="X16" i="255"/>
  <c r="Y16" i="255"/>
  <c r="Z16" i="255"/>
  <c r="AA16" i="255"/>
  <c r="AB16" i="255"/>
  <c r="F16" i="255"/>
  <c r="G15" i="255"/>
  <c r="H15" i="255"/>
  <c r="I15" i="255"/>
  <c r="J15" i="255"/>
  <c r="K15" i="255"/>
  <c r="L15" i="255"/>
  <c r="M15" i="255"/>
  <c r="N15" i="255"/>
  <c r="O15" i="255"/>
  <c r="P15" i="255"/>
  <c r="Q15" i="255"/>
  <c r="R15" i="255"/>
  <c r="S15" i="255"/>
  <c r="T15" i="255"/>
  <c r="U15" i="255"/>
  <c r="V15" i="255"/>
  <c r="W15" i="255"/>
  <c r="X15" i="255"/>
  <c r="Y15" i="255"/>
  <c r="Z15" i="255"/>
  <c r="AA15" i="255"/>
  <c r="AB15" i="255"/>
  <c r="I24" i="255"/>
  <c r="J24" i="255"/>
  <c r="K24" i="255"/>
  <c r="L24" i="255"/>
  <c r="M24" i="255"/>
  <c r="N24" i="255"/>
  <c r="O24" i="255"/>
  <c r="P24" i="255"/>
  <c r="Q24" i="255"/>
  <c r="R24" i="255"/>
  <c r="S24" i="255"/>
  <c r="T24" i="255"/>
  <c r="U24" i="255"/>
  <c r="V24" i="255"/>
  <c r="W24" i="255"/>
  <c r="X24" i="255"/>
  <c r="Y24" i="255"/>
  <c r="Z24" i="255"/>
  <c r="AA24" i="255"/>
  <c r="AB24" i="255"/>
  <c r="AC24" i="255"/>
  <c r="AD24" i="255"/>
  <c r="AE24" i="255"/>
  <c r="AF24" i="255"/>
  <c r="AG24" i="255"/>
  <c r="AH24" i="255"/>
  <c r="AI24" i="255"/>
  <c r="AJ24" i="255"/>
  <c r="AK24" i="255"/>
  <c r="AL24" i="255"/>
  <c r="AM24" i="255"/>
  <c r="AN24" i="255"/>
  <c r="AO24" i="255"/>
  <c r="H24" i="255"/>
  <c r="D21" i="257" l="1"/>
  <c r="H21" i="257" s="1"/>
  <c r="D22" i="257"/>
  <c r="AT23" i="257"/>
  <c r="D14" i="257"/>
  <c r="H14" i="257" s="1"/>
  <c r="AC46" i="260" l="1"/>
  <c r="AC17" i="260" l="1"/>
  <c r="E15" i="260" s="1"/>
  <c r="G3" i="261" l="1"/>
  <c r="H25" i="255"/>
  <c r="F4" i="255"/>
  <c r="AQ33" i="256"/>
  <c r="H21" i="256"/>
  <c r="H22" i="256"/>
  <c r="D42" i="257"/>
  <c r="H47" i="257"/>
  <c r="H22" i="257"/>
  <c r="F45" i="260" l="1"/>
  <c r="H44" i="261" l="1"/>
  <c r="AC8" i="260" l="1"/>
  <c r="F9" i="260" l="1"/>
  <c r="AC21" i="260"/>
  <c r="F22" i="260" s="1"/>
  <c r="G9" i="260"/>
  <c r="F44" i="261" l="1"/>
  <c r="G44" i="261"/>
  <c r="J44" i="261" l="1"/>
  <c r="K44" i="261"/>
  <c r="L44" i="261"/>
  <c r="M44" i="261"/>
  <c r="N44" i="261"/>
  <c r="O44" i="261"/>
  <c r="P44" i="261"/>
  <c r="Q44" i="261"/>
  <c r="R44" i="261"/>
  <c r="S44" i="261"/>
  <c r="T44" i="261"/>
  <c r="U44" i="261"/>
  <c r="V44" i="261"/>
  <c r="W44" i="261"/>
  <c r="X44" i="261"/>
  <c r="Y44" i="261"/>
  <c r="Z44" i="261"/>
  <c r="AA44" i="261"/>
  <c r="AB44" i="261"/>
  <c r="I44" i="261"/>
  <c r="B16" i="267"/>
  <c r="D16" i="267" s="1"/>
  <c r="B15" i="267"/>
  <c r="D15" i="267" s="1"/>
  <c r="D14" i="267"/>
  <c r="D9" i="267"/>
  <c r="C9" i="267"/>
  <c r="B17" i="267" l="1"/>
  <c r="B18" i="267"/>
  <c r="D18" i="267" l="1"/>
  <c r="B19" i="267"/>
  <c r="D19" i="267" s="1"/>
  <c r="D17" i="267"/>
  <c r="B20" i="267" l="1"/>
  <c r="B21" i="267" s="1"/>
  <c r="C25" i="267" s="1"/>
  <c r="D21" i="267" l="1"/>
  <c r="D20" i="267"/>
  <c r="C26" i="267"/>
  <c r="A32" i="261" s="1"/>
  <c r="A35" i="261"/>
  <c r="A34" i="261"/>
  <c r="A33" i="261"/>
  <c r="AE9" i="261" l="1"/>
  <c r="D43" i="261" l="1"/>
  <c r="F43" i="261" s="1"/>
  <c r="D42" i="261"/>
  <c r="D44" i="261"/>
  <c r="D48" i="261"/>
  <c r="D47" i="261"/>
  <c r="I17" i="261"/>
  <c r="F17" i="261"/>
  <c r="G17" i="261"/>
  <c r="H17" i="261"/>
  <c r="J17" i="261"/>
  <c r="K17" i="261"/>
  <c r="L17" i="261"/>
  <c r="M17" i="261"/>
  <c r="N17" i="261"/>
  <c r="O17" i="261"/>
  <c r="P17" i="261"/>
  <c r="Q17" i="261"/>
  <c r="R17" i="261"/>
  <c r="S17" i="261"/>
  <c r="T17" i="261"/>
  <c r="U17" i="261"/>
  <c r="V17" i="261"/>
  <c r="W17" i="261"/>
  <c r="X17" i="261"/>
  <c r="Y17" i="261"/>
  <c r="Z17" i="261"/>
  <c r="AA17" i="261"/>
  <c r="AB17" i="261"/>
  <c r="A41" i="261"/>
  <c r="H3" i="261"/>
  <c r="I3" i="261" s="1"/>
  <c r="J3" i="261" s="1"/>
  <c r="K3" i="261" s="1"/>
  <c r="L3" i="261" s="1"/>
  <c r="M3" i="261" s="1"/>
  <c r="N3" i="261" s="1"/>
  <c r="O3" i="261" s="1"/>
  <c r="P3" i="261" s="1"/>
  <c r="Q3" i="261" s="1"/>
  <c r="R3" i="261" s="1"/>
  <c r="S3" i="261" s="1"/>
  <c r="T3" i="261" s="1"/>
  <c r="U3" i="261" s="1"/>
  <c r="V3" i="261" s="1"/>
  <c r="W3" i="261" s="1"/>
  <c r="X3" i="261" s="1"/>
  <c r="Y3" i="261" s="1"/>
  <c r="Z3" i="261" s="1"/>
  <c r="AA3" i="261" s="1"/>
  <c r="AB3" i="261" s="1"/>
  <c r="C14" i="260" l="1"/>
  <c r="P15" i="260"/>
  <c r="M16" i="260"/>
  <c r="R16" i="260" s="1"/>
  <c r="W16" i="260" s="1"/>
  <c r="J37" i="260" l="1"/>
  <c r="Y37" i="260"/>
  <c r="T37" i="260"/>
  <c r="O37" i="260"/>
  <c r="E37" i="260"/>
  <c r="C37" i="260" l="1"/>
  <c r="E9" i="260"/>
  <c r="C48" i="260" l="1"/>
  <c r="Y47" i="260"/>
  <c r="X47" i="260"/>
  <c r="W47" i="260"/>
  <c r="V47" i="260"/>
  <c r="U47" i="260"/>
  <c r="T47" i="260"/>
  <c r="S47" i="260"/>
  <c r="R47" i="260"/>
  <c r="Q47" i="260"/>
  <c r="P47" i="260"/>
  <c r="O47" i="260"/>
  <c r="N47" i="260"/>
  <c r="M47" i="260"/>
  <c r="L47" i="260"/>
  <c r="K47" i="260"/>
  <c r="J47" i="260"/>
  <c r="I47" i="260"/>
  <c r="H47" i="260"/>
  <c r="G47" i="260"/>
  <c r="F47" i="260"/>
  <c r="E47" i="260"/>
  <c r="C46" i="260"/>
  <c r="Y45" i="260"/>
  <c r="X45" i="260"/>
  <c r="W45" i="260"/>
  <c r="V45" i="260"/>
  <c r="U45" i="260"/>
  <c r="T45" i="260"/>
  <c r="S45" i="260"/>
  <c r="R45" i="260"/>
  <c r="Q45" i="260"/>
  <c r="P45" i="260"/>
  <c r="O45" i="260"/>
  <c r="N45" i="260"/>
  <c r="M45" i="260"/>
  <c r="L45" i="260"/>
  <c r="K45" i="260"/>
  <c r="J45" i="260"/>
  <c r="I45" i="260"/>
  <c r="H45" i="260"/>
  <c r="G45" i="260"/>
  <c r="E45" i="260"/>
  <c r="C44" i="260"/>
  <c r="C42" i="260"/>
  <c r="C40" i="260"/>
  <c r="C38" i="260"/>
  <c r="C31" i="260"/>
  <c r="C29" i="260"/>
  <c r="X28" i="260"/>
  <c r="W28" i="260"/>
  <c r="V28" i="260"/>
  <c r="U28" i="260"/>
  <c r="T28" i="260"/>
  <c r="S28" i="260"/>
  <c r="Q28" i="260"/>
  <c r="P28" i="260"/>
  <c r="O28" i="260"/>
  <c r="N28" i="260"/>
  <c r="M28" i="260"/>
  <c r="L28" i="260"/>
  <c r="K28" i="260"/>
  <c r="J28" i="260"/>
  <c r="I28" i="260"/>
  <c r="H28" i="260"/>
  <c r="G28" i="260"/>
  <c r="F28" i="260"/>
  <c r="E28" i="260"/>
  <c r="C27" i="260"/>
  <c r="C25" i="260"/>
  <c r="C23" i="260"/>
  <c r="Y22" i="260"/>
  <c r="X22" i="260"/>
  <c r="W22" i="260"/>
  <c r="V22" i="260"/>
  <c r="U22" i="260"/>
  <c r="T22" i="260"/>
  <c r="S22" i="260"/>
  <c r="R22" i="260"/>
  <c r="Q22" i="260"/>
  <c r="P22" i="260"/>
  <c r="O22" i="260"/>
  <c r="N22" i="260"/>
  <c r="M22" i="260"/>
  <c r="L22" i="260"/>
  <c r="K22" i="260"/>
  <c r="J22" i="260"/>
  <c r="I22" i="260"/>
  <c r="H22" i="260"/>
  <c r="G22" i="260"/>
  <c r="E22" i="260"/>
  <c r="C21" i="260"/>
  <c r="C12" i="260"/>
  <c r="C10" i="260"/>
  <c r="Y9" i="260"/>
  <c r="X9" i="260"/>
  <c r="W9" i="260"/>
  <c r="V9" i="260"/>
  <c r="U9" i="260"/>
  <c r="T9" i="260"/>
  <c r="S9" i="260"/>
  <c r="R9" i="260"/>
  <c r="Q9" i="260"/>
  <c r="P9" i="260"/>
  <c r="O9" i="260"/>
  <c r="N9" i="260"/>
  <c r="M9" i="260"/>
  <c r="L9" i="260"/>
  <c r="K9" i="260"/>
  <c r="J9" i="260"/>
  <c r="I9" i="260"/>
  <c r="H9" i="260"/>
  <c r="C8" i="260"/>
  <c r="F3" i="260"/>
  <c r="G3" i="260" s="1"/>
  <c r="H3" i="260" s="1"/>
  <c r="I3" i="260" s="1"/>
  <c r="J3" i="260" s="1"/>
  <c r="K3" i="260" s="1"/>
  <c r="L3" i="260" s="1"/>
  <c r="M3" i="260" s="1"/>
  <c r="N3" i="260" s="1"/>
  <c r="O3" i="260" s="1"/>
  <c r="P3" i="260" s="1"/>
  <c r="Q3" i="260" s="1"/>
  <c r="R3" i="260" s="1"/>
  <c r="S3" i="260" s="1"/>
  <c r="T3" i="260" s="1"/>
  <c r="U3" i="260" s="1"/>
  <c r="V3" i="260" s="1"/>
  <c r="W3" i="260" s="1"/>
  <c r="X3" i="260" s="1"/>
  <c r="Y3" i="260" s="1"/>
  <c r="C9" i="260" l="1"/>
  <c r="C45" i="260"/>
  <c r="C47" i="260"/>
  <c r="C22" i="260"/>
  <c r="C16" i="260"/>
  <c r="L36" i="260" l="1"/>
  <c r="N36" i="260"/>
  <c r="P36" i="260"/>
  <c r="R36" i="260"/>
  <c r="T36" i="260"/>
  <c r="V36" i="260"/>
  <c r="X36" i="260"/>
  <c r="F36" i="260"/>
  <c r="H36" i="260"/>
  <c r="J36" i="260"/>
  <c r="K36" i="260"/>
  <c r="M36" i="260"/>
  <c r="O36" i="260"/>
  <c r="Q36" i="260"/>
  <c r="S36" i="260"/>
  <c r="U36" i="260"/>
  <c r="W36" i="260"/>
  <c r="Y36" i="260"/>
  <c r="G36" i="260"/>
  <c r="I36" i="260"/>
  <c r="E36" i="260"/>
  <c r="C36" i="260" l="1"/>
  <c r="X32" i="260" l="1"/>
  <c r="T32" i="260"/>
  <c r="P32" i="260"/>
  <c r="L32" i="260"/>
  <c r="H32" i="260"/>
  <c r="W32" i="260"/>
  <c r="S32" i="260"/>
  <c r="O32" i="260"/>
  <c r="K32" i="260"/>
  <c r="G32" i="260"/>
  <c r="V32" i="260"/>
  <c r="R32" i="260"/>
  <c r="N32" i="260"/>
  <c r="J32" i="260"/>
  <c r="F32" i="260"/>
  <c r="Y32" i="260"/>
  <c r="U32" i="260"/>
  <c r="Q32" i="260"/>
  <c r="M32" i="260"/>
  <c r="I32" i="260"/>
  <c r="E32" i="260"/>
  <c r="E55" i="260" l="1"/>
  <c r="C32" i="260"/>
  <c r="AC38" i="257" l="1"/>
  <c r="AD38" i="257"/>
  <c r="AE38" i="257"/>
  <c r="AF38" i="257"/>
  <c r="AG38" i="257"/>
  <c r="AH38" i="257"/>
  <c r="AI38" i="257"/>
  <c r="AJ38" i="257"/>
  <c r="AK38" i="257"/>
  <c r="AL38" i="257"/>
  <c r="AM38" i="257"/>
  <c r="AN38" i="257"/>
  <c r="AO38" i="257"/>
  <c r="AC39" i="257"/>
  <c r="AD39" i="257"/>
  <c r="AE39" i="257"/>
  <c r="AF39" i="257"/>
  <c r="AG39" i="257"/>
  <c r="AH39" i="257"/>
  <c r="AI39" i="257"/>
  <c r="AJ39" i="257"/>
  <c r="AK39" i="257"/>
  <c r="AL39" i="257"/>
  <c r="AM39" i="257"/>
  <c r="AN39" i="257"/>
  <c r="AO39" i="257"/>
  <c r="AC40" i="257"/>
  <c r="AD40" i="257"/>
  <c r="AE40" i="257"/>
  <c r="AF40" i="257"/>
  <c r="AG40" i="257"/>
  <c r="AH40" i="257"/>
  <c r="AI40" i="257"/>
  <c r="AJ40" i="257"/>
  <c r="AK40" i="257"/>
  <c r="AL40" i="257"/>
  <c r="AM40" i="257"/>
  <c r="AN40" i="257"/>
  <c r="AO40" i="257"/>
  <c r="M42" i="257"/>
  <c r="N42" i="257"/>
  <c r="O42" i="257"/>
  <c r="P42" i="257"/>
  <c r="Q42" i="257"/>
  <c r="R42" i="257"/>
  <c r="S42" i="257"/>
  <c r="T42" i="257"/>
  <c r="U42" i="257"/>
  <c r="V42" i="257"/>
  <c r="W42" i="257"/>
  <c r="X42" i="257"/>
  <c r="Y42" i="257"/>
  <c r="Z42" i="257"/>
  <c r="AA42" i="257"/>
  <c r="AB42" i="257"/>
  <c r="J47" i="257"/>
  <c r="K47" i="257"/>
  <c r="L47" i="257"/>
  <c r="I47" i="257"/>
  <c r="I22" i="257" l="1"/>
  <c r="G6" i="257"/>
  <c r="F6" i="257"/>
  <c r="D47" i="257"/>
  <c r="AO90" i="257" l="1"/>
  <c r="AN90" i="257"/>
  <c r="AM90" i="257"/>
  <c r="AL90" i="257"/>
  <c r="AK90" i="257"/>
  <c r="AJ90" i="257"/>
  <c r="AI90" i="257"/>
  <c r="AH90" i="257"/>
  <c r="AG90" i="257"/>
  <c r="AF90" i="257"/>
  <c r="AE90" i="257"/>
  <c r="AD90" i="257"/>
  <c r="AC90" i="257"/>
  <c r="G88" i="257"/>
  <c r="F88" i="257"/>
  <c r="G86" i="257"/>
  <c r="F86" i="257"/>
  <c r="AO30" i="257"/>
  <c r="AN30" i="257"/>
  <c r="AM30" i="257"/>
  <c r="AL30" i="257"/>
  <c r="AK30" i="257"/>
  <c r="AJ30" i="257"/>
  <c r="AI30" i="257"/>
  <c r="AH30" i="257"/>
  <c r="AG30" i="257"/>
  <c r="AF30" i="257"/>
  <c r="AE30" i="257"/>
  <c r="AD30" i="257"/>
  <c r="AC30" i="257"/>
  <c r="AR23" i="257"/>
  <c r="AQ23" i="257"/>
  <c r="AB22" i="257"/>
  <c r="AA22" i="257"/>
  <c r="Z22" i="257"/>
  <c r="Y22" i="257"/>
  <c r="X22" i="257"/>
  <c r="W22" i="257"/>
  <c r="V22" i="257"/>
  <c r="U22" i="257"/>
  <c r="T22" i="257"/>
  <c r="S22" i="257"/>
  <c r="R22" i="257"/>
  <c r="Q22" i="257"/>
  <c r="P22" i="257"/>
  <c r="O22" i="257"/>
  <c r="N22" i="257"/>
  <c r="M22" i="257"/>
  <c r="L22" i="257"/>
  <c r="K22" i="257"/>
  <c r="J22" i="257"/>
  <c r="AB21" i="257"/>
  <c r="D20" i="257"/>
  <c r="H20" i="257" s="1"/>
  <c r="H25" i="257" s="1"/>
  <c r="H24" i="257" s="1"/>
  <c r="AB14" i="257"/>
  <c r="X14" i="257"/>
  <c r="T14" i="257"/>
  <c r="P14" i="257"/>
  <c r="L14" i="257"/>
  <c r="AA14" i="257"/>
  <c r="G12" i="257"/>
  <c r="F12" i="257"/>
  <c r="G93" i="257"/>
  <c r="F93" i="257"/>
  <c r="AO4" i="257"/>
  <c r="AN4" i="257"/>
  <c r="AM4" i="257"/>
  <c r="AL4" i="257"/>
  <c r="AK4" i="257"/>
  <c r="AJ4" i="257"/>
  <c r="AI4" i="257"/>
  <c r="AH4" i="257"/>
  <c r="AG4" i="257"/>
  <c r="AF4" i="257"/>
  <c r="AE4" i="257"/>
  <c r="AD4" i="257"/>
  <c r="AC4" i="257"/>
  <c r="AB4" i="257"/>
  <c r="AA4" i="257"/>
  <c r="Z4" i="257"/>
  <c r="Y4" i="257"/>
  <c r="X4" i="257"/>
  <c r="W4" i="257"/>
  <c r="V4" i="257"/>
  <c r="U4" i="257"/>
  <c r="T4" i="257"/>
  <c r="S4" i="257"/>
  <c r="R4" i="257"/>
  <c r="Q4" i="257"/>
  <c r="P4" i="257"/>
  <c r="O4" i="257"/>
  <c r="N4" i="257"/>
  <c r="M4" i="257"/>
  <c r="L4" i="257"/>
  <c r="K4" i="257"/>
  <c r="J4" i="257"/>
  <c r="I4" i="257"/>
  <c r="H4" i="257"/>
  <c r="G4" i="257"/>
  <c r="F4" i="257"/>
  <c r="AR22" i="257" l="1"/>
  <c r="Z20" i="257"/>
  <c r="F90" i="257"/>
  <c r="G90" i="257"/>
  <c r="H35" i="261" s="1"/>
  <c r="O20" i="257"/>
  <c r="U21" i="257"/>
  <c r="AA20" i="257"/>
  <c r="K20" i="257"/>
  <c r="M21" i="257"/>
  <c r="N21" i="257"/>
  <c r="V21" i="257"/>
  <c r="S20" i="257"/>
  <c r="I21" i="257"/>
  <c r="Q21" i="257"/>
  <c r="Y21" i="257"/>
  <c r="W20" i="257"/>
  <c r="J21" i="257"/>
  <c r="R21" i="257"/>
  <c r="Z21" i="257"/>
  <c r="G11" i="257"/>
  <c r="P20" i="257"/>
  <c r="X20" i="257"/>
  <c r="F14" i="257"/>
  <c r="J14" i="257"/>
  <c r="N14" i="257"/>
  <c r="R14" i="257"/>
  <c r="V14" i="257"/>
  <c r="Z14" i="257"/>
  <c r="I20" i="257"/>
  <c r="M20" i="257"/>
  <c r="Q20" i="257"/>
  <c r="U20" i="257"/>
  <c r="Y20" i="257"/>
  <c r="K21" i="257"/>
  <c r="O21" i="257"/>
  <c r="S21" i="257"/>
  <c r="W21" i="257"/>
  <c r="AA21" i="257"/>
  <c r="I14" i="257"/>
  <c r="M14" i="257"/>
  <c r="Q14" i="257"/>
  <c r="U14" i="257"/>
  <c r="Y14" i="257"/>
  <c r="L20" i="257"/>
  <c r="T20" i="257"/>
  <c r="AB20" i="257"/>
  <c r="AB25" i="257" s="1"/>
  <c r="F11" i="257"/>
  <c r="G14" i="257"/>
  <c r="K14" i="257"/>
  <c r="O14" i="257"/>
  <c r="S14" i="257"/>
  <c r="W14" i="257"/>
  <c r="J20" i="257"/>
  <c r="N20" i="257"/>
  <c r="R20" i="257"/>
  <c r="V20" i="257"/>
  <c r="L21" i="257"/>
  <c r="P21" i="257"/>
  <c r="T21" i="257"/>
  <c r="X21" i="257"/>
  <c r="AC29" i="256"/>
  <c r="AD29" i="256"/>
  <c r="AE29" i="256"/>
  <c r="AF29" i="256"/>
  <c r="AG29" i="256"/>
  <c r="AH29" i="256"/>
  <c r="AI29" i="256"/>
  <c r="AJ29" i="256"/>
  <c r="AK29" i="256"/>
  <c r="AL29" i="256"/>
  <c r="AM29" i="256"/>
  <c r="AN29" i="256"/>
  <c r="AO29" i="256"/>
  <c r="I21" i="256"/>
  <c r="I14" i="256"/>
  <c r="G6" i="256"/>
  <c r="F6" i="256"/>
  <c r="D34" i="256"/>
  <c r="T25" i="257" l="1"/>
  <c r="T24" i="257" s="1"/>
  <c r="W25" i="257"/>
  <c r="W24" i="257" s="1"/>
  <c r="Z25" i="257"/>
  <c r="Z24" i="257" s="1"/>
  <c r="Q25" i="257"/>
  <c r="Q24" i="257" s="1"/>
  <c r="O25" i="257"/>
  <c r="O24" i="257" s="1"/>
  <c r="M25" i="257"/>
  <c r="M24" i="257" s="1"/>
  <c r="P25" i="257"/>
  <c r="P24" i="257" s="1"/>
  <c r="L25" i="257"/>
  <c r="L24" i="257" s="1"/>
  <c r="Y25" i="257"/>
  <c r="Y24" i="257" s="1"/>
  <c r="I25" i="257"/>
  <c r="I24" i="257" s="1"/>
  <c r="AA25" i="257"/>
  <c r="AA24" i="257" s="1"/>
  <c r="U25" i="257"/>
  <c r="U24" i="257" s="1"/>
  <c r="X25" i="257"/>
  <c r="X24" i="257" s="1"/>
  <c r="X19" i="257" s="1"/>
  <c r="S25" i="257"/>
  <c r="S24" i="257" s="1"/>
  <c r="K25" i="257"/>
  <c r="K24" i="257" s="1"/>
  <c r="V25" i="257"/>
  <c r="V24" i="257" s="1"/>
  <c r="N25" i="257"/>
  <c r="N24" i="257" s="1"/>
  <c r="R25" i="257"/>
  <c r="R24" i="257" s="1"/>
  <c r="J25" i="257"/>
  <c r="J24" i="257" s="1"/>
  <c r="AR20" i="257"/>
  <c r="AR14" i="257"/>
  <c r="AR21" i="257"/>
  <c r="AB24" i="257"/>
  <c r="F35" i="261"/>
  <c r="G35" i="261"/>
  <c r="AR24" i="257" l="1"/>
  <c r="F79" i="256" l="1"/>
  <c r="AO76" i="256"/>
  <c r="AN76" i="256"/>
  <c r="AM76" i="256"/>
  <c r="AL76" i="256"/>
  <c r="AK76" i="256"/>
  <c r="AJ76" i="256"/>
  <c r="AI76" i="256"/>
  <c r="AH76" i="256"/>
  <c r="AG76" i="256"/>
  <c r="AF76" i="256"/>
  <c r="AE76" i="256"/>
  <c r="AD76" i="256"/>
  <c r="AC76" i="256"/>
  <c r="G74" i="256"/>
  <c r="F74" i="256"/>
  <c r="G72" i="256"/>
  <c r="F72" i="256"/>
  <c r="AR23" i="256"/>
  <c r="AQ23" i="256"/>
  <c r="AB22" i="256"/>
  <c r="AA22" i="256"/>
  <c r="Z22" i="256"/>
  <c r="Y22" i="256"/>
  <c r="X22" i="256"/>
  <c r="W22" i="256"/>
  <c r="V22" i="256"/>
  <c r="U22" i="256"/>
  <c r="T22" i="256"/>
  <c r="S22" i="256"/>
  <c r="R22" i="256"/>
  <c r="Q22" i="256"/>
  <c r="P22" i="256"/>
  <c r="O22" i="256"/>
  <c r="N22" i="256"/>
  <c r="M22" i="256"/>
  <c r="L22" i="256"/>
  <c r="K22" i="256"/>
  <c r="J22" i="256"/>
  <c r="I22" i="256"/>
  <c r="AA21" i="256"/>
  <c r="Y21" i="256"/>
  <c r="W21" i="256"/>
  <c r="U21" i="256"/>
  <c r="S21" i="256"/>
  <c r="Q21" i="256"/>
  <c r="O21" i="256"/>
  <c r="M21" i="256"/>
  <c r="K21" i="256"/>
  <c r="Z21" i="256"/>
  <c r="D20" i="256"/>
  <c r="D15" i="256"/>
  <c r="Z15" i="256" s="1"/>
  <c r="AB14" i="256"/>
  <c r="Z14" i="256"/>
  <c r="X14" i="256"/>
  <c r="V14" i="256"/>
  <c r="T14" i="256"/>
  <c r="R14" i="256"/>
  <c r="P14" i="256"/>
  <c r="N14" i="256"/>
  <c r="L14" i="256"/>
  <c r="J14" i="256"/>
  <c r="H14" i="256"/>
  <c r="F14" i="256"/>
  <c r="Y14" i="256"/>
  <c r="G12" i="256"/>
  <c r="G29" i="256" s="1"/>
  <c r="F12" i="256"/>
  <c r="F29" i="256" s="1"/>
  <c r="G79" i="256"/>
  <c r="F11" i="256"/>
  <c r="AO4" i="256"/>
  <c r="AN4" i="256"/>
  <c r="AM4" i="256"/>
  <c r="AL4" i="256"/>
  <c r="AK4" i="256"/>
  <c r="AJ4" i="256"/>
  <c r="AI4" i="256"/>
  <c r="AH4" i="256"/>
  <c r="AG4" i="256"/>
  <c r="AF4" i="256"/>
  <c r="AE4" i="256"/>
  <c r="AD4" i="256"/>
  <c r="AC4" i="256"/>
  <c r="AB4" i="256"/>
  <c r="AA4" i="256"/>
  <c r="Z4" i="256"/>
  <c r="Y4" i="256"/>
  <c r="X4" i="256"/>
  <c r="W4" i="256"/>
  <c r="V4" i="256"/>
  <c r="U4" i="256"/>
  <c r="T4" i="256"/>
  <c r="S4" i="256"/>
  <c r="R4" i="256"/>
  <c r="Q4" i="256"/>
  <c r="P4" i="256"/>
  <c r="O4" i="256"/>
  <c r="N4" i="256"/>
  <c r="M4" i="256"/>
  <c r="L4" i="256"/>
  <c r="K4" i="256"/>
  <c r="J4" i="256"/>
  <c r="I4" i="256"/>
  <c r="H4" i="256"/>
  <c r="G4" i="256"/>
  <c r="F4" i="256"/>
  <c r="F76" i="256" l="1"/>
  <c r="F34" i="261" s="1"/>
  <c r="Y20" i="256"/>
  <c r="H20" i="256"/>
  <c r="N15" i="256"/>
  <c r="F15" i="256"/>
  <c r="P15" i="256"/>
  <c r="H15" i="256"/>
  <c r="V15" i="256"/>
  <c r="AR22" i="256"/>
  <c r="J15" i="256"/>
  <c r="X15" i="256"/>
  <c r="W20" i="256"/>
  <c r="R15" i="256"/>
  <c r="Y15" i="256"/>
  <c r="I15" i="256"/>
  <c r="L15" i="256"/>
  <c r="T15" i="256"/>
  <c r="AB15" i="256"/>
  <c r="K20" i="256"/>
  <c r="O20" i="256"/>
  <c r="Q20" i="256"/>
  <c r="J20" i="256"/>
  <c r="U20" i="256"/>
  <c r="M20" i="256"/>
  <c r="R20" i="256"/>
  <c r="AB20" i="256"/>
  <c r="I20" i="256"/>
  <c r="N20" i="256"/>
  <c r="S20" i="256"/>
  <c r="AA20" i="256"/>
  <c r="G11" i="256"/>
  <c r="D42" i="256"/>
  <c r="G14" i="256"/>
  <c r="K14" i="256"/>
  <c r="O14" i="256"/>
  <c r="S14" i="256"/>
  <c r="W14" i="256"/>
  <c r="AA14" i="256"/>
  <c r="G15" i="256"/>
  <c r="K15" i="256"/>
  <c r="O15" i="256"/>
  <c r="S15" i="256"/>
  <c r="W15" i="256"/>
  <c r="AA15" i="256"/>
  <c r="V20" i="256"/>
  <c r="Z20" i="256"/>
  <c r="Z24" i="256" s="1"/>
  <c r="L21" i="256"/>
  <c r="P21" i="256"/>
  <c r="T21" i="256"/>
  <c r="X21" i="256"/>
  <c r="AB21" i="256"/>
  <c r="G76" i="256"/>
  <c r="H34" i="261" s="1"/>
  <c r="M14" i="256"/>
  <c r="Q14" i="256"/>
  <c r="U14" i="256"/>
  <c r="M15" i="256"/>
  <c r="Q15" i="256"/>
  <c r="U15" i="256"/>
  <c r="L20" i="256"/>
  <c r="P20" i="256"/>
  <c r="T20" i="256"/>
  <c r="X20" i="256"/>
  <c r="J21" i="256"/>
  <c r="N21" i="256"/>
  <c r="R21" i="256"/>
  <c r="V21" i="256"/>
  <c r="AC33" i="255"/>
  <c r="AD33" i="255"/>
  <c r="AE33" i="255"/>
  <c r="AF33" i="255"/>
  <c r="AG33" i="255"/>
  <c r="AH33" i="255"/>
  <c r="AI33" i="255"/>
  <c r="AJ33" i="255"/>
  <c r="AK33" i="255"/>
  <c r="AL33" i="255"/>
  <c r="AM33" i="255"/>
  <c r="AN33" i="255"/>
  <c r="AO33" i="255"/>
  <c r="D23" i="255"/>
  <c r="H23" i="255" s="1"/>
  <c r="D22" i="255"/>
  <c r="H22" i="255" s="1"/>
  <c r="G34" i="261" l="1"/>
  <c r="H24" i="256"/>
  <c r="I24" i="256"/>
  <c r="Y24" i="256"/>
  <c r="T24" i="256"/>
  <c r="P24" i="256"/>
  <c r="O24" i="256"/>
  <c r="K24" i="256"/>
  <c r="R24" i="256"/>
  <c r="AA24" i="256"/>
  <c r="N24" i="256"/>
  <c r="AR20" i="256"/>
  <c r="AB24" i="256"/>
  <c r="V24" i="256"/>
  <c r="AR21" i="256"/>
  <c r="X24" i="256"/>
  <c r="U24" i="256"/>
  <c r="Q24" i="256"/>
  <c r="W24" i="256"/>
  <c r="J24" i="256"/>
  <c r="M24" i="256"/>
  <c r="S24" i="256"/>
  <c r="L24" i="256"/>
  <c r="D14" i="255"/>
  <c r="AR24" i="256" l="1"/>
  <c r="AC29" i="260" l="1"/>
  <c r="F30" i="260" s="1"/>
  <c r="AC23" i="260" l="1"/>
  <c r="AC25" i="260"/>
  <c r="F26" i="260" s="1"/>
  <c r="F24" i="260" l="1"/>
  <c r="G24" i="260"/>
  <c r="X30" i="260"/>
  <c r="V30" i="260"/>
  <c r="T30" i="260"/>
  <c r="R30" i="260"/>
  <c r="P30" i="260"/>
  <c r="N30" i="260"/>
  <c r="L30" i="260"/>
  <c r="J30" i="260"/>
  <c r="H30" i="260"/>
  <c r="E30" i="260"/>
  <c r="Y30" i="260"/>
  <c r="W30" i="260"/>
  <c r="U30" i="260"/>
  <c r="S30" i="260"/>
  <c r="Q30" i="260"/>
  <c r="O30" i="260"/>
  <c r="M30" i="260"/>
  <c r="K30" i="260"/>
  <c r="I30" i="260"/>
  <c r="G30" i="260"/>
  <c r="Y24" i="260"/>
  <c r="W24" i="260"/>
  <c r="U24" i="260"/>
  <c r="S24" i="260"/>
  <c r="Q24" i="260"/>
  <c r="O24" i="260"/>
  <c r="M24" i="260"/>
  <c r="K24" i="260"/>
  <c r="I24" i="260"/>
  <c r="E24" i="260"/>
  <c r="X24" i="260"/>
  <c r="V24" i="260"/>
  <c r="T24" i="260"/>
  <c r="R24" i="260"/>
  <c r="P24" i="260"/>
  <c r="N24" i="260"/>
  <c r="L24" i="260"/>
  <c r="J24" i="260"/>
  <c r="H24" i="260"/>
  <c r="Y26" i="260"/>
  <c r="W26" i="260"/>
  <c r="U26" i="260"/>
  <c r="S26" i="260"/>
  <c r="Q26" i="260"/>
  <c r="O26" i="260"/>
  <c r="M26" i="260"/>
  <c r="K26" i="260"/>
  <c r="I26" i="260"/>
  <c r="G26" i="260"/>
  <c r="E26" i="260"/>
  <c r="X26" i="260"/>
  <c r="V26" i="260"/>
  <c r="T26" i="260"/>
  <c r="R26" i="260"/>
  <c r="P26" i="260"/>
  <c r="N26" i="260"/>
  <c r="L26" i="260"/>
  <c r="J26" i="260"/>
  <c r="H26" i="260"/>
  <c r="AR26" i="255"/>
  <c r="AQ26" i="255"/>
  <c r="AC80" i="255"/>
  <c r="AD80" i="255"/>
  <c r="AE80" i="255"/>
  <c r="AF80" i="255"/>
  <c r="AG80" i="255"/>
  <c r="AH80" i="255"/>
  <c r="AI80" i="255"/>
  <c r="AJ80" i="255"/>
  <c r="AK80" i="255"/>
  <c r="AL80" i="255"/>
  <c r="AM80" i="255"/>
  <c r="AN80" i="255"/>
  <c r="AO80" i="255"/>
  <c r="G78" i="255"/>
  <c r="F78" i="255"/>
  <c r="G76" i="255"/>
  <c r="F76" i="255"/>
  <c r="D38" i="255" l="1"/>
  <c r="C30" i="260"/>
  <c r="C26" i="260"/>
  <c r="C28" i="260" s="1"/>
  <c r="G80" i="255"/>
  <c r="H32" i="261" s="1"/>
  <c r="H19" i="260"/>
  <c r="L19" i="260"/>
  <c r="P19" i="260"/>
  <c r="T19" i="260"/>
  <c r="X19" i="260"/>
  <c r="G19" i="260"/>
  <c r="K19" i="260"/>
  <c r="O19" i="260"/>
  <c r="S19" i="260"/>
  <c r="W19" i="260"/>
  <c r="F19" i="260"/>
  <c r="J19" i="260"/>
  <c r="N19" i="260"/>
  <c r="V19" i="260"/>
  <c r="E19" i="260"/>
  <c r="C24" i="260"/>
  <c r="I19" i="260"/>
  <c r="M19" i="260"/>
  <c r="Q19" i="260"/>
  <c r="U19" i="260"/>
  <c r="F80" i="255"/>
  <c r="J23" i="255"/>
  <c r="K23" i="255"/>
  <c r="L23" i="255"/>
  <c r="M23" i="255"/>
  <c r="N23" i="255"/>
  <c r="O23" i="255"/>
  <c r="P23" i="255"/>
  <c r="Q23" i="255"/>
  <c r="R23" i="255"/>
  <c r="S23" i="255"/>
  <c r="T23" i="255"/>
  <c r="U23" i="255"/>
  <c r="V23" i="255"/>
  <c r="W23" i="255"/>
  <c r="X23" i="255"/>
  <c r="Y23" i="255"/>
  <c r="Z23" i="255"/>
  <c r="AA23" i="255"/>
  <c r="AB23" i="255"/>
  <c r="I23" i="255"/>
  <c r="J22" i="255"/>
  <c r="K22" i="255"/>
  <c r="L22" i="255"/>
  <c r="M22" i="255"/>
  <c r="N22" i="255"/>
  <c r="O22" i="255"/>
  <c r="P22" i="255"/>
  <c r="Q22" i="255"/>
  <c r="R22" i="255"/>
  <c r="S22" i="255"/>
  <c r="T22" i="255"/>
  <c r="U22" i="255"/>
  <c r="V22" i="255"/>
  <c r="W22" i="255"/>
  <c r="X22" i="255"/>
  <c r="Y22" i="255"/>
  <c r="Z22" i="255"/>
  <c r="AA22" i="255"/>
  <c r="AB22" i="255"/>
  <c r="I22" i="255"/>
  <c r="G14" i="255"/>
  <c r="H14" i="255"/>
  <c r="I14" i="255"/>
  <c r="J14" i="255"/>
  <c r="K14" i="255"/>
  <c r="L14" i="255"/>
  <c r="M14" i="255"/>
  <c r="N14" i="255"/>
  <c r="O14" i="255"/>
  <c r="P14" i="255"/>
  <c r="Q14" i="255"/>
  <c r="R14" i="255"/>
  <c r="S14" i="255"/>
  <c r="T14" i="255"/>
  <c r="U14" i="255"/>
  <c r="V14" i="255"/>
  <c r="W14" i="255"/>
  <c r="X14" i="255"/>
  <c r="Y14" i="255"/>
  <c r="Z14" i="255"/>
  <c r="AA14" i="255"/>
  <c r="AB14" i="255"/>
  <c r="F14" i="255"/>
  <c r="G17" i="255"/>
  <c r="H17" i="255"/>
  <c r="I17" i="255"/>
  <c r="J17" i="255"/>
  <c r="K17" i="255"/>
  <c r="L17" i="255"/>
  <c r="M17" i="255"/>
  <c r="N17" i="255"/>
  <c r="O17" i="255"/>
  <c r="P17" i="255"/>
  <c r="Q17" i="255"/>
  <c r="R17" i="255"/>
  <c r="S17" i="255"/>
  <c r="T17" i="255"/>
  <c r="U17" i="255"/>
  <c r="V17" i="255"/>
  <c r="W17" i="255"/>
  <c r="X17" i="255"/>
  <c r="Y17" i="255"/>
  <c r="Z17" i="255"/>
  <c r="AA17" i="255"/>
  <c r="AB17" i="255"/>
  <c r="F17" i="255"/>
  <c r="G12" i="255"/>
  <c r="F12" i="255"/>
  <c r="G6" i="255"/>
  <c r="H15" i="261" s="1"/>
  <c r="F6" i="255"/>
  <c r="H28" i="255" l="1"/>
  <c r="H27" i="255" s="1"/>
  <c r="H33" i="261"/>
  <c r="F15" i="261"/>
  <c r="G15" i="261"/>
  <c r="G33" i="261"/>
  <c r="G32" i="261"/>
  <c r="R28" i="260"/>
  <c r="R19" i="260" s="1"/>
  <c r="Y28" i="260"/>
  <c r="Y19" i="260" s="1"/>
  <c r="F32" i="261"/>
  <c r="F33" i="261"/>
  <c r="G11" i="255"/>
  <c r="G83" i="255"/>
  <c r="F11" i="255"/>
  <c r="F83" i="255"/>
  <c r="AR23" i="255"/>
  <c r="AR22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AE4" i="255"/>
  <c r="AF4" i="255"/>
  <c r="AG4" i="255"/>
  <c r="AH4" i="255"/>
  <c r="AI4" i="255"/>
  <c r="AJ4" i="255"/>
  <c r="AK4" i="255"/>
  <c r="AL4" i="255"/>
  <c r="AM4" i="255"/>
  <c r="AN4" i="255"/>
  <c r="AO4" i="255"/>
  <c r="G4" i="255"/>
  <c r="G31" i="261" l="1"/>
  <c r="C19" i="260"/>
  <c r="H31" i="261"/>
  <c r="F31" i="261"/>
  <c r="AF6" i="256" l="1"/>
  <c r="AJ6" i="256"/>
  <c r="AN6" i="256"/>
  <c r="AC6" i="256"/>
  <c r="AG6" i="256"/>
  <c r="AK6" i="256"/>
  <c r="AO6" i="256"/>
  <c r="AD6" i="256"/>
  <c r="AH6" i="256"/>
  <c r="AL6" i="256"/>
  <c r="AE6" i="256"/>
  <c r="AI6" i="256"/>
  <c r="AM6" i="256"/>
  <c r="AB6" i="256"/>
  <c r="L6" i="256" l="1"/>
  <c r="L11" i="256" s="1"/>
  <c r="I6" i="256"/>
  <c r="I11" i="256" s="1"/>
  <c r="AB11" i="256"/>
  <c r="AB42" i="256" s="1"/>
  <c r="AB74" i="256" s="1"/>
  <c r="AB6" i="257"/>
  <c r="Z6" i="255"/>
  <c r="AA15" i="261" s="1"/>
  <c r="Q6" i="256" l="1"/>
  <c r="Q11" i="256" s="1"/>
  <c r="V6" i="256"/>
  <c r="U6" i="256"/>
  <c r="U11" i="256" s="1"/>
  <c r="P6" i="256"/>
  <c r="P11" i="256" s="1"/>
  <c r="P42" i="256" s="1"/>
  <c r="P74" i="256" s="1"/>
  <c r="AA6" i="256"/>
  <c r="AA11" i="256" s="1"/>
  <c r="R6" i="256"/>
  <c r="R11" i="256" s="1"/>
  <c r="R42" i="256" s="1"/>
  <c r="R74" i="256" s="1"/>
  <c r="Y6" i="256"/>
  <c r="Y11" i="256" s="1"/>
  <c r="Y42" i="256" s="1"/>
  <c r="Y74" i="256" s="1"/>
  <c r="J6" i="256"/>
  <c r="J11" i="256" s="1"/>
  <c r="T6" i="256"/>
  <c r="T11" i="256" s="1"/>
  <c r="T42" i="256" s="1"/>
  <c r="T74" i="256" s="1"/>
  <c r="S6" i="256"/>
  <c r="S11" i="256" s="1"/>
  <c r="W6" i="256"/>
  <c r="W11" i="256" s="1"/>
  <c r="Z6" i="256"/>
  <c r="Z11" i="256" s="1"/>
  <c r="Z42" i="256" s="1"/>
  <c r="Z74" i="256" s="1"/>
  <c r="N6" i="256"/>
  <c r="N11" i="256" s="1"/>
  <c r="N42" i="256" s="1"/>
  <c r="N74" i="256" s="1"/>
  <c r="O6" i="256"/>
  <c r="O11" i="256" s="1"/>
  <c r="X6" i="256"/>
  <c r="X11" i="256" s="1"/>
  <c r="K6" i="256"/>
  <c r="K11" i="256" s="1"/>
  <c r="K42" i="256" s="1"/>
  <c r="K74" i="256" s="1"/>
  <c r="M6" i="256"/>
  <c r="N6" i="255"/>
  <c r="O15" i="261" s="1"/>
  <c r="R6" i="255"/>
  <c r="S15" i="261" s="1"/>
  <c r="H6" i="256"/>
  <c r="V11" i="256"/>
  <c r="L42" i="256"/>
  <c r="L74" i="256" s="1"/>
  <c r="M11" i="256"/>
  <c r="AB11" i="257"/>
  <c r="I42" i="256"/>
  <c r="Z11" i="255"/>
  <c r="Z6" i="257"/>
  <c r="Z11" i="257" s="1"/>
  <c r="AA6" i="255"/>
  <c r="AB15" i="261" s="1"/>
  <c r="AB6" i="255"/>
  <c r="V6" i="257" l="1"/>
  <c r="V11" i="257" s="1"/>
  <c r="J6" i="257"/>
  <c r="J11" i="257" s="1"/>
  <c r="X6" i="257"/>
  <c r="X11" i="257" s="1"/>
  <c r="N6" i="257"/>
  <c r="N11" i="257" s="1"/>
  <c r="R6" i="257"/>
  <c r="R11" i="257" s="1"/>
  <c r="K6" i="257"/>
  <c r="K11" i="257" s="1"/>
  <c r="I6" i="257"/>
  <c r="I11" i="257" s="1"/>
  <c r="V6" i="255"/>
  <c r="W15" i="261" s="1"/>
  <c r="J6" i="255"/>
  <c r="K15" i="261" s="1"/>
  <c r="H6" i="255"/>
  <c r="N11" i="255"/>
  <c r="R11" i="255"/>
  <c r="T6" i="255"/>
  <c r="U15" i="261" s="1"/>
  <c r="M6" i="255"/>
  <c r="N15" i="261" s="1"/>
  <c r="K6" i="255"/>
  <c r="L15" i="261" s="1"/>
  <c r="Y6" i="255"/>
  <c r="Z15" i="261" s="1"/>
  <c r="W6" i="255"/>
  <c r="X15" i="261" s="1"/>
  <c r="X6" i="255"/>
  <c r="Y15" i="261" s="1"/>
  <c r="O6" i="255"/>
  <c r="P15" i="261" s="1"/>
  <c r="L6" i="255"/>
  <c r="M15" i="261" s="1"/>
  <c r="H6" i="257"/>
  <c r="H11" i="257" s="1"/>
  <c r="Q6" i="255"/>
  <c r="R15" i="261" s="1"/>
  <c r="S6" i="255"/>
  <c r="T15" i="261" s="1"/>
  <c r="P6" i="255"/>
  <c r="Q15" i="261" s="1"/>
  <c r="I6" i="255"/>
  <c r="J15" i="261" s="1"/>
  <c r="AR6" i="256"/>
  <c r="AQ6" i="256"/>
  <c r="H11" i="256"/>
  <c r="H42" i="256" s="1"/>
  <c r="X42" i="256"/>
  <c r="X74" i="256" s="1"/>
  <c r="J42" i="256"/>
  <c r="J74" i="256" s="1"/>
  <c r="V42" i="256"/>
  <c r="V74" i="256" s="1"/>
  <c r="O42" i="256"/>
  <c r="O74" i="256" s="1"/>
  <c r="W42" i="256"/>
  <c r="W74" i="256" s="1"/>
  <c r="Q42" i="256"/>
  <c r="Q74" i="256" s="1"/>
  <c r="AA42" i="256"/>
  <c r="AA74" i="256" s="1"/>
  <c r="I74" i="256"/>
  <c r="U42" i="256"/>
  <c r="U74" i="256" s="1"/>
  <c r="M42" i="256"/>
  <c r="M74" i="256" s="1"/>
  <c r="S42" i="256"/>
  <c r="S74" i="256" s="1"/>
  <c r="AB11" i="255"/>
  <c r="AA11" i="255"/>
  <c r="Q6" i="257" l="1"/>
  <c r="Q11" i="257" s="1"/>
  <c r="AA6" i="257"/>
  <c r="AA11" i="257" s="1"/>
  <c r="L6" i="257"/>
  <c r="L11" i="257" s="1"/>
  <c r="S6" i="257"/>
  <c r="S11" i="257" s="1"/>
  <c r="Y6" i="257"/>
  <c r="Y11" i="257" s="1"/>
  <c r="O6" i="257"/>
  <c r="O11" i="257" s="1"/>
  <c r="T6" i="257"/>
  <c r="T11" i="257" s="1"/>
  <c r="P6" i="257"/>
  <c r="P11" i="257" s="1"/>
  <c r="M6" i="257"/>
  <c r="M11" i="257" s="1"/>
  <c r="W6" i="257"/>
  <c r="W11" i="257" s="1"/>
  <c r="U6" i="257"/>
  <c r="U11" i="257" s="1"/>
  <c r="J11" i="255"/>
  <c r="V11" i="255"/>
  <c r="W11" i="255"/>
  <c r="T11" i="255"/>
  <c r="Q11" i="255"/>
  <c r="M11" i="255"/>
  <c r="L11" i="255"/>
  <c r="Y11" i="255"/>
  <c r="K11" i="255"/>
  <c r="P11" i="255"/>
  <c r="O11" i="255"/>
  <c r="X11" i="255"/>
  <c r="S11" i="255"/>
  <c r="U6" i="255"/>
  <c r="AR6" i="255" s="1"/>
  <c r="I11" i="255"/>
  <c r="I15" i="261"/>
  <c r="H11" i="255"/>
  <c r="AQ42" i="256"/>
  <c r="AR42" i="256"/>
  <c r="H74" i="256"/>
  <c r="AR11" i="257" l="1"/>
  <c r="AQ6" i="257"/>
  <c r="AR6" i="257"/>
  <c r="AQ6" i="255"/>
  <c r="V15" i="261"/>
  <c r="D15" i="261" s="1"/>
  <c r="U11" i="255"/>
  <c r="AR74" i="256"/>
  <c r="AQ74" i="256"/>
  <c r="A15" i="261" l="1"/>
  <c r="A24" i="261" s="1"/>
  <c r="F77" i="256" l="1"/>
  <c r="G77" i="256"/>
  <c r="H44" i="255" l="1"/>
  <c r="N44" i="255"/>
  <c r="T44" i="255"/>
  <c r="AM44" i="255"/>
  <c r="AC44" i="255"/>
  <c r="AG44" i="255"/>
  <c r="AD44" i="255"/>
  <c r="W44" i="255"/>
  <c r="X44" i="255"/>
  <c r="AK44" i="255"/>
  <c r="L44" i="255"/>
  <c r="Y44" i="255"/>
  <c r="AN44" i="255"/>
  <c r="M44" i="255"/>
  <c r="Q44" i="255"/>
  <c r="AJ44" i="255"/>
  <c r="O44" i="255"/>
  <c r="AB44" i="255"/>
  <c r="U44" i="255"/>
  <c r="AA44" i="255"/>
  <c r="AL44" i="255"/>
  <c r="AI44" i="255"/>
  <c r="AF44" i="255"/>
  <c r="S44" i="255"/>
  <c r="K44" i="255"/>
  <c r="J44" i="255"/>
  <c r="P44" i="255"/>
  <c r="AO44" i="255"/>
  <c r="V44" i="255"/>
  <c r="I44" i="255"/>
  <c r="AH44" i="255"/>
  <c r="AE44" i="255"/>
  <c r="Z44" i="255"/>
  <c r="R44" i="255"/>
  <c r="H29" i="255"/>
  <c r="H26" i="257"/>
  <c r="H7" i="255"/>
  <c r="AD29" i="255"/>
  <c r="AH29" i="255"/>
  <c r="AL29" i="255"/>
  <c r="AE29" i="255"/>
  <c r="AI29" i="255"/>
  <c r="AM29" i="255"/>
  <c r="AF29" i="255"/>
  <c r="AJ29" i="255"/>
  <c r="AN29" i="255"/>
  <c r="AC29" i="255"/>
  <c r="AG29" i="255"/>
  <c r="AK29" i="255"/>
  <c r="AO29" i="255"/>
  <c r="Z7" i="257"/>
  <c r="Z12" i="257" s="1"/>
  <c r="Z30" i="257" s="1"/>
  <c r="H7" i="257"/>
  <c r="H25" i="256"/>
  <c r="H7" i="256"/>
  <c r="AC32" i="257"/>
  <c r="AG32" i="257"/>
  <c r="AK32" i="257"/>
  <c r="AO32" i="257"/>
  <c r="AI32" i="257"/>
  <c r="AD32" i="257"/>
  <c r="AH32" i="257"/>
  <c r="AL32" i="257"/>
  <c r="AE32" i="257"/>
  <c r="AM32" i="257"/>
  <c r="AF32" i="257"/>
  <c r="AJ32" i="257"/>
  <c r="AN32" i="257"/>
  <c r="G91" i="257"/>
  <c r="AF35" i="255"/>
  <c r="AJ35" i="255"/>
  <c r="AN35" i="255"/>
  <c r="F25" i="256"/>
  <c r="AC35" i="255"/>
  <c r="AG35" i="255"/>
  <c r="AK35" i="255"/>
  <c r="AO35" i="255"/>
  <c r="G25" i="256"/>
  <c r="F91" i="257"/>
  <c r="AD35" i="255"/>
  <c r="AH35" i="255"/>
  <c r="AL35" i="255"/>
  <c r="AE35" i="255"/>
  <c r="AI35" i="255"/>
  <c r="AM35" i="255"/>
  <c r="AB26" i="257"/>
  <c r="L26" i="257"/>
  <c r="P26" i="257"/>
  <c r="I26" i="257"/>
  <c r="Z26" i="257"/>
  <c r="Y26" i="257"/>
  <c r="R26" i="257"/>
  <c r="N26" i="257"/>
  <c r="K26" i="257"/>
  <c r="U26" i="257"/>
  <c r="M26" i="257"/>
  <c r="AA26" i="257"/>
  <c r="J26" i="257"/>
  <c r="T26" i="257"/>
  <c r="W26" i="257"/>
  <c r="X26" i="257"/>
  <c r="Q26" i="257"/>
  <c r="V26" i="257"/>
  <c r="O26" i="257"/>
  <c r="S26" i="257"/>
  <c r="AL77" i="256"/>
  <c r="AI77" i="256"/>
  <c r="AJ77" i="256"/>
  <c r="AG77" i="256"/>
  <c r="AM77" i="256"/>
  <c r="AN77" i="256"/>
  <c r="AK77" i="256"/>
  <c r="AD77" i="256"/>
  <c r="AO77" i="256"/>
  <c r="AH77" i="256"/>
  <c r="AE77" i="256"/>
  <c r="AF77" i="256"/>
  <c r="AC77" i="256"/>
  <c r="T25" i="256"/>
  <c r="I25" i="256"/>
  <c r="R25" i="256"/>
  <c r="O25" i="256"/>
  <c r="P25" i="256"/>
  <c r="Y25" i="256"/>
  <c r="Z25" i="256"/>
  <c r="AA25" i="256"/>
  <c r="N25" i="256"/>
  <c r="X25" i="256"/>
  <c r="Q25" i="256"/>
  <c r="V25" i="256"/>
  <c r="K25" i="256"/>
  <c r="L25" i="256"/>
  <c r="S25" i="256"/>
  <c r="AB25" i="256"/>
  <c r="W25" i="256"/>
  <c r="U25" i="256"/>
  <c r="M25" i="256"/>
  <c r="J25" i="256"/>
  <c r="F81" i="255"/>
  <c r="G81" i="255"/>
  <c r="AB7" i="256"/>
  <c r="AB12" i="256" s="1"/>
  <c r="T7" i="256"/>
  <c r="T12" i="256" s="1"/>
  <c r="L7" i="256"/>
  <c r="L12" i="256" s="1"/>
  <c r="I7" i="256"/>
  <c r="Z7" i="255"/>
  <c r="Z12" i="255" s="1"/>
  <c r="M7" i="256"/>
  <c r="M12" i="256" s="1"/>
  <c r="J7" i="257"/>
  <c r="J12" i="257" s="1"/>
  <c r="U7" i="257"/>
  <c r="U12" i="257" s="1"/>
  <c r="AB7" i="257"/>
  <c r="AB12" i="257" s="1"/>
  <c r="U7" i="256"/>
  <c r="U12" i="256" s="1"/>
  <c r="K7" i="257"/>
  <c r="K12" i="257" s="1"/>
  <c r="AA7" i="256"/>
  <c r="AA12" i="256" s="1"/>
  <c r="N7" i="256"/>
  <c r="N12" i="256" s="1"/>
  <c r="Q7" i="256"/>
  <c r="Q12" i="256" s="1"/>
  <c r="V7" i="257"/>
  <c r="V12" i="257" s="1"/>
  <c r="M7" i="257"/>
  <c r="M12" i="257" s="1"/>
  <c r="N7" i="255"/>
  <c r="N12" i="255" s="1"/>
  <c r="W7" i="257"/>
  <c r="W12" i="257" s="1"/>
  <c r="W30" i="257" s="1"/>
  <c r="W7" i="256"/>
  <c r="W12" i="256" s="1"/>
  <c r="Y7" i="257"/>
  <c r="Y12" i="257" s="1"/>
  <c r="Y30" i="257" s="1"/>
  <c r="O7" i="256"/>
  <c r="O12" i="256" s="1"/>
  <c r="T7" i="257"/>
  <c r="T12" i="257" s="1"/>
  <c r="Q7" i="257"/>
  <c r="Q12" i="257" s="1"/>
  <c r="AA7" i="257"/>
  <c r="AA12" i="257" s="1"/>
  <c r="AA30" i="257" s="1"/>
  <c r="O7" i="257"/>
  <c r="O12" i="257" s="1"/>
  <c r="V7" i="256"/>
  <c r="V12" i="256" s="1"/>
  <c r="R7" i="255"/>
  <c r="R12" i="255" s="1"/>
  <c r="K7" i="256"/>
  <c r="K12" i="256" s="1"/>
  <c r="I7" i="257"/>
  <c r="R7" i="257"/>
  <c r="R12" i="257" s="1"/>
  <c r="J7" i="256"/>
  <c r="J12" i="256" s="1"/>
  <c r="S7" i="257"/>
  <c r="S12" i="257" s="1"/>
  <c r="X7" i="256"/>
  <c r="X12" i="256" s="1"/>
  <c r="P7" i="256"/>
  <c r="P12" i="256" s="1"/>
  <c r="X7" i="257"/>
  <c r="X12" i="257" s="1"/>
  <c r="S7" i="256"/>
  <c r="S12" i="256" s="1"/>
  <c r="R7" i="256"/>
  <c r="R12" i="256" s="1"/>
  <c r="L7" i="257"/>
  <c r="L12" i="257" s="1"/>
  <c r="V7" i="255"/>
  <c r="V12" i="255" s="1"/>
  <c r="J7" i="255"/>
  <c r="J12" i="255" s="1"/>
  <c r="Z7" i="256"/>
  <c r="Z12" i="256" s="1"/>
  <c r="Y7" i="256"/>
  <c r="Y12" i="256" s="1"/>
  <c r="P7" i="257"/>
  <c r="P12" i="257" s="1"/>
  <c r="N7" i="257"/>
  <c r="N12" i="257" s="1"/>
  <c r="AB7" i="255"/>
  <c r="AB12" i="255" s="1"/>
  <c r="P7" i="255"/>
  <c r="P12" i="255" s="1"/>
  <c r="AA7" i="255"/>
  <c r="AA12" i="255" s="1"/>
  <c r="W7" i="255"/>
  <c r="W12" i="255" s="1"/>
  <c r="X7" i="255"/>
  <c r="X12" i="255" s="1"/>
  <c r="K7" i="255"/>
  <c r="K12" i="255" s="1"/>
  <c r="O7" i="255"/>
  <c r="O12" i="255" s="1"/>
  <c r="T7" i="255"/>
  <c r="T12" i="255" s="1"/>
  <c r="Y7" i="255"/>
  <c r="Y12" i="255" s="1"/>
  <c r="M7" i="255"/>
  <c r="M12" i="255" s="1"/>
  <c r="I7" i="255"/>
  <c r="I12" i="255" s="1"/>
  <c r="Q7" i="255"/>
  <c r="Q12" i="255" s="1"/>
  <c r="U7" i="255"/>
  <c r="U12" i="255" s="1"/>
  <c r="L7" i="255"/>
  <c r="L12" i="255" s="1"/>
  <c r="S7" i="255"/>
  <c r="S12" i="255" s="1"/>
  <c r="AR7" i="257" l="1"/>
  <c r="AR7" i="256"/>
  <c r="AQ7" i="257"/>
  <c r="H12" i="257"/>
  <c r="X30" i="257"/>
  <c r="X33" i="257" s="1"/>
  <c r="X32" i="257" s="1"/>
  <c r="X29" i="257"/>
  <c r="AQ7" i="256"/>
  <c r="H12" i="256"/>
  <c r="AQ7" i="255"/>
  <c r="AR7" i="255"/>
  <c r="H12" i="255"/>
  <c r="H33" i="255" s="1"/>
  <c r="H48" i="255" s="1"/>
  <c r="W29" i="256"/>
  <c r="W28" i="256"/>
  <c r="J30" i="257"/>
  <c r="J29" i="257"/>
  <c r="L29" i="256"/>
  <c r="L28" i="256"/>
  <c r="AM7" i="257"/>
  <c r="AC7" i="257"/>
  <c r="AF7" i="257"/>
  <c r="AC7" i="255"/>
  <c r="AM7" i="255"/>
  <c r="AL7" i="257"/>
  <c r="AO7" i="257"/>
  <c r="AI7" i="257"/>
  <c r="AE7" i="257"/>
  <c r="AL7" i="255"/>
  <c r="AH7" i="255"/>
  <c r="AN7" i="255"/>
  <c r="AI7" i="255"/>
  <c r="AH7" i="257"/>
  <c r="AK7" i="257"/>
  <c r="AN7" i="257"/>
  <c r="AD7" i="255"/>
  <c r="AO7" i="255"/>
  <c r="AJ7" i="255"/>
  <c r="AE7" i="255"/>
  <c r="AD7" i="257"/>
  <c r="AG7" i="257"/>
  <c r="AJ7" i="257"/>
  <c r="AK7" i="255"/>
  <c r="AG7" i="255"/>
  <c r="AF7" i="255"/>
  <c r="AO7" i="256"/>
  <c r="AK7" i="256"/>
  <c r="AF7" i="256"/>
  <c r="AI7" i="256"/>
  <c r="AN7" i="256"/>
  <c r="AJ7" i="256"/>
  <c r="AM7" i="256"/>
  <c r="AD7" i="256"/>
  <c r="AH7" i="256"/>
  <c r="AC7" i="256"/>
  <c r="AE7" i="256"/>
  <c r="AL7" i="256"/>
  <c r="AG7" i="256"/>
  <c r="Y29" i="256"/>
  <c r="Y28" i="256"/>
  <c r="L30" i="257"/>
  <c r="L29" i="257"/>
  <c r="P28" i="256"/>
  <c r="P29" i="256"/>
  <c r="R29" i="257"/>
  <c r="R30" i="257"/>
  <c r="V28" i="256"/>
  <c r="V29" i="256"/>
  <c r="T30" i="257"/>
  <c r="T29" i="257"/>
  <c r="W29" i="257"/>
  <c r="Q29" i="256"/>
  <c r="Q28" i="256"/>
  <c r="U29" i="256"/>
  <c r="U28" i="256"/>
  <c r="M29" i="256"/>
  <c r="M28" i="256"/>
  <c r="T29" i="256"/>
  <c r="T28" i="256"/>
  <c r="Z29" i="257"/>
  <c r="J29" i="256"/>
  <c r="J28" i="256"/>
  <c r="V30" i="257"/>
  <c r="V29" i="257"/>
  <c r="N29" i="257"/>
  <c r="N30" i="257"/>
  <c r="Z28" i="256"/>
  <c r="Z29" i="256"/>
  <c r="R28" i="256"/>
  <c r="R29" i="256"/>
  <c r="X29" i="256"/>
  <c r="X28" i="256"/>
  <c r="I12" i="257"/>
  <c r="O30" i="257"/>
  <c r="O29" i="257"/>
  <c r="O29" i="256"/>
  <c r="O28" i="256"/>
  <c r="N28" i="256"/>
  <c r="N29" i="256"/>
  <c r="AB29" i="257"/>
  <c r="AB30" i="257"/>
  <c r="AB28" i="256"/>
  <c r="AB29" i="256"/>
  <c r="AQ25" i="256"/>
  <c r="AR25" i="256"/>
  <c r="AR26" i="257"/>
  <c r="AQ26" i="257"/>
  <c r="Q30" i="257"/>
  <c r="Q29" i="257"/>
  <c r="K30" i="257"/>
  <c r="K29" i="257"/>
  <c r="P29" i="257"/>
  <c r="P30" i="257"/>
  <c r="S29" i="256"/>
  <c r="S28" i="256"/>
  <c r="S29" i="257"/>
  <c r="S30" i="257"/>
  <c r="K28" i="256"/>
  <c r="K29" i="256"/>
  <c r="AA29" i="257"/>
  <c r="Y29" i="257"/>
  <c r="M30" i="257"/>
  <c r="M29" i="257"/>
  <c r="AA29" i="256"/>
  <c r="AA28" i="256"/>
  <c r="U30" i="257"/>
  <c r="U29" i="257"/>
  <c r="I12" i="256"/>
  <c r="AR12" i="257" l="1"/>
  <c r="H28" i="256"/>
  <c r="H29" i="256"/>
  <c r="H32" i="255"/>
  <c r="H29" i="257"/>
  <c r="H30" i="257"/>
  <c r="M50" i="257"/>
  <c r="M40" i="257" s="1"/>
  <c r="M49" i="257"/>
  <c r="M58" i="257"/>
  <c r="M54" i="257"/>
  <c r="M33" i="257"/>
  <c r="K45" i="257"/>
  <c r="K40" i="257" s="1"/>
  <c r="K54" i="257"/>
  <c r="K44" i="257"/>
  <c r="K58" i="257"/>
  <c r="K33" i="257"/>
  <c r="O50" i="257"/>
  <c r="O40" i="257" s="1"/>
  <c r="O58" i="257"/>
  <c r="O49" i="257"/>
  <c r="O54" i="257"/>
  <c r="O33" i="257"/>
  <c r="W49" i="257"/>
  <c r="W58" i="257"/>
  <c r="W54" i="257"/>
  <c r="W50" i="257"/>
  <c r="W40" i="257" s="1"/>
  <c r="W33" i="257"/>
  <c r="W36" i="256"/>
  <c r="W40" i="256"/>
  <c r="W37" i="256"/>
  <c r="W35" i="256"/>
  <c r="W44" i="256"/>
  <c r="W34" i="256"/>
  <c r="W38" i="256"/>
  <c r="W32" i="256"/>
  <c r="Y49" i="257"/>
  <c r="Y58" i="257"/>
  <c r="Y50" i="257"/>
  <c r="Y40" i="257" s="1"/>
  <c r="Y54" i="257"/>
  <c r="Y33" i="257"/>
  <c r="K32" i="256"/>
  <c r="K38" i="256"/>
  <c r="K36" i="256"/>
  <c r="K40" i="256"/>
  <c r="K37" i="256"/>
  <c r="K35" i="256"/>
  <c r="K44" i="256"/>
  <c r="K34" i="256"/>
  <c r="AB33" i="257"/>
  <c r="AB50" i="257"/>
  <c r="AB40" i="257" s="1"/>
  <c r="AB54" i="257"/>
  <c r="AB49" i="257"/>
  <c r="AB58" i="257"/>
  <c r="X37" i="256"/>
  <c r="X40" i="256"/>
  <c r="X36" i="256"/>
  <c r="X44" i="256"/>
  <c r="X34" i="256"/>
  <c r="X35" i="256"/>
  <c r="X38" i="256"/>
  <c r="X32" i="256"/>
  <c r="T32" i="256"/>
  <c r="T37" i="256"/>
  <c r="T35" i="256"/>
  <c r="T44" i="256"/>
  <c r="T38" i="256"/>
  <c r="T36" i="256"/>
  <c r="T40" i="256"/>
  <c r="T34" i="256"/>
  <c r="U35" i="256"/>
  <c r="U34" i="256"/>
  <c r="U44" i="256"/>
  <c r="U38" i="256"/>
  <c r="U36" i="256"/>
  <c r="U40" i="256"/>
  <c r="U37" i="256"/>
  <c r="U32" i="256"/>
  <c r="Y32" i="256"/>
  <c r="Y38" i="256"/>
  <c r="Y44" i="256"/>
  <c r="Y36" i="256"/>
  <c r="Y40" i="256"/>
  <c r="Y34" i="256"/>
  <c r="Y37" i="256"/>
  <c r="Y35" i="256"/>
  <c r="U49" i="257"/>
  <c r="U58" i="257"/>
  <c r="U54" i="257"/>
  <c r="U50" i="257"/>
  <c r="U40" i="257" s="1"/>
  <c r="U33" i="257"/>
  <c r="Z32" i="256"/>
  <c r="Z40" i="256"/>
  <c r="Z37" i="256"/>
  <c r="Z35" i="256"/>
  <c r="Z38" i="256"/>
  <c r="Z34" i="256"/>
  <c r="Z36" i="256"/>
  <c r="Z44" i="256"/>
  <c r="Z33" i="257"/>
  <c r="Z32" i="257" s="1"/>
  <c r="Z58" i="257"/>
  <c r="Z50" i="257"/>
  <c r="Z40" i="257" s="1"/>
  <c r="Z49" i="257"/>
  <c r="Z54" i="257"/>
  <c r="P32" i="256"/>
  <c r="P40" i="256"/>
  <c r="P34" i="256"/>
  <c r="P37" i="256"/>
  <c r="P35" i="256"/>
  <c r="P44" i="256"/>
  <c r="P36" i="256"/>
  <c r="P38" i="256"/>
  <c r="L38" i="256"/>
  <c r="L40" i="256"/>
  <c r="L34" i="256"/>
  <c r="L37" i="256"/>
  <c r="L35" i="256"/>
  <c r="L44" i="256"/>
  <c r="L36" i="256"/>
  <c r="L32" i="256"/>
  <c r="I29" i="256"/>
  <c r="I28" i="256"/>
  <c r="AA37" i="256"/>
  <c r="AA35" i="256"/>
  <c r="AA44" i="256"/>
  <c r="AA34" i="256"/>
  <c r="AA38" i="256"/>
  <c r="AA36" i="256"/>
  <c r="AA40" i="256"/>
  <c r="AA32" i="256"/>
  <c r="S36" i="256"/>
  <c r="S35" i="256"/>
  <c r="S37" i="256"/>
  <c r="S40" i="256"/>
  <c r="S44" i="256"/>
  <c r="S34" i="256"/>
  <c r="S38" i="256"/>
  <c r="S32" i="256"/>
  <c r="Q50" i="257"/>
  <c r="Q40" i="257" s="1"/>
  <c r="Q58" i="257"/>
  <c r="Q49" i="257"/>
  <c r="Q54" i="257"/>
  <c r="Q33" i="257"/>
  <c r="O38" i="256"/>
  <c r="O36" i="256"/>
  <c r="O35" i="256"/>
  <c r="O37" i="256"/>
  <c r="O40" i="256"/>
  <c r="O44" i="256"/>
  <c r="O34" i="256"/>
  <c r="O32" i="256"/>
  <c r="R32" i="256"/>
  <c r="R40" i="256"/>
  <c r="R37" i="256"/>
  <c r="R35" i="256"/>
  <c r="R44" i="256"/>
  <c r="R38" i="256"/>
  <c r="R36" i="256"/>
  <c r="R34" i="256"/>
  <c r="N49" i="257"/>
  <c r="N54" i="257"/>
  <c r="N58" i="257"/>
  <c r="N50" i="257"/>
  <c r="N40" i="257" s="1"/>
  <c r="N33" i="257"/>
  <c r="J36" i="256"/>
  <c r="J34" i="256"/>
  <c r="J40" i="256"/>
  <c r="J37" i="256"/>
  <c r="J35" i="256"/>
  <c r="J44" i="256"/>
  <c r="J38" i="256"/>
  <c r="J32" i="256"/>
  <c r="R50" i="257"/>
  <c r="R40" i="257" s="1"/>
  <c r="R49" i="257"/>
  <c r="R54" i="257"/>
  <c r="R58" i="257"/>
  <c r="R33" i="257"/>
  <c r="J44" i="257"/>
  <c r="J58" i="257"/>
  <c r="J54" i="257"/>
  <c r="J45" i="257"/>
  <c r="J40" i="257" s="1"/>
  <c r="J33" i="257"/>
  <c r="X58" i="257"/>
  <c r="X50" i="257"/>
  <c r="X40" i="257" s="1"/>
  <c r="X49" i="257"/>
  <c r="X54" i="257"/>
  <c r="V50" i="257"/>
  <c r="V40" i="257" s="1"/>
  <c r="V49" i="257"/>
  <c r="V54" i="257"/>
  <c r="V58" i="257"/>
  <c r="V33" i="257"/>
  <c r="V44" i="256"/>
  <c r="V38" i="256"/>
  <c r="V40" i="256"/>
  <c r="V35" i="256"/>
  <c r="V37" i="256"/>
  <c r="V34" i="256"/>
  <c r="V36" i="256"/>
  <c r="V32" i="256"/>
  <c r="AA33" i="257"/>
  <c r="AA50" i="257"/>
  <c r="AA40" i="257" s="1"/>
  <c r="AA58" i="257"/>
  <c r="AA49" i="257"/>
  <c r="AA54" i="257"/>
  <c r="S58" i="257"/>
  <c r="S54" i="257"/>
  <c r="S50" i="257"/>
  <c r="S40" i="257" s="1"/>
  <c r="S49" i="257"/>
  <c r="S33" i="257"/>
  <c r="P58" i="257"/>
  <c r="P54" i="257"/>
  <c r="P50" i="257"/>
  <c r="P40" i="257" s="1"/>
  <c r="P49" i="257"/>
  <c r="P33" i="257"/>
  <c r="AB32" i="256"/>
  <c r="AB40" i="256"/>
  <c r="AB36" i="256"/>
  <c r="AB38" i="256"/>
  <c r="AB44" i="256"/>
  <c r="AB35" i="256"/>
  <c r="AB37" i="256"/>
  <c r="AB34" i="256"/>
  <c r="N32" i="256"/>
  <c r="N40" i="256"/>
  <c r="N37" i="256"/>
  <c r="N35" i="256"/>
  <c r="N44" i="256"/>
  <c r="N38" i="256"/>
  <c r="N36" i="256"/>
  <c r="N34" i="256"/>
  <c r="I29" i="257"/>
  <c r="I30" i="257"/>
  <c r="M38" i="256"/>
  <c r="M36" i="256"/>
  <c r="M40" i="256"/>
  <c r="M37" i="256"/>
  <c r="M35" i="256"/>
  <c r="M34" i="256"/>
  <c r="M44" i="256"/>
  <c r="M32" i="256"/>
  <c r="Q35" i="256"/>
  <c r="Q34" i="256"/>
  <c r="Q44" i="256"/>
  <c r="Q38" i="256"/>
  <c r="Q36" i="256"/>
  <c r="Q40" i="256"/>
  <c r="Q37" i="256"/>
  <c r="Q32" i="256"/>
  <c r="T58" i="257"/>
  <c r="T50" i="257"/>
  <c r="T40" i="257" s="1"/>
  <c r="T54" i="257"/>
  <c r="T49" i="257"/>
  <c r="T33" i="257"/>
  <c r="L45" i="257"/>
  <c r="L40" i="257" s="1"/>
  <c r="L54" i="257"/>
  <c r="L44" i="257"/>
  <c r="L58" i="257"/>
  <c r="L33" i="257"/>
  <c r="AR30" i="257" l="1"/>
  <c r="AQ30" i="257"/>
  <c r="M47" i="257"/>
  <c r="M38" i="257" s="1"/>
  <c r="H38" i="255"/>
  <c r="H39" i="255"/>
  <c r="H41" i="255"/>
  <c r="H42" i="255"/>
  <c r="H40" i="255"/>
  <c r="H36" i="255"/>
  <c r="H33" i="257"/>
  <c r="H54" i="257"/>
  <c r="H44" i="257"/>
  <c r="H45" i="257"/>
  <c r="H40" i="257" s="1"/>
  <c r="H58" i="257"/>
  <c r="H32" i="256"/>
  <c r="H37" i="256"/>
  <c r="AQ29" i="256"/>
  <c r="H40" i="256"/>
  <c r="AR29" i="256"/>
  <c r="H35" i="256"/>
  <c r="H44" i="256"/>
  <c r="H36" i="256"/>
  <c r="H38" i="256"/>
  <c r="H34" i="256"/>
  <c r="AR29" i="257"/>
  <c r="AR28" i="256"/>
  <c r="AS28" i="256" s="1"/>
  <c r="N31" i="256"/>
  <c r="N72" i="256"/>
  <c r="N76" i="256" s="1"/>
  <c r="O34" i="261" s="1"/>
  <c r="AB72" i="256"/>
  <c r="AB76" i="256" s="1"/>
  <c r="AB31" i="256"/>
  <c r="AA47" i="257"/>
  <c r="AA38" i="257" s="1"/>
  <c r="AA56" i="257" s="1"/>
  <c r="AA88" i="257" s="1"/>
  <c r="AA39" i="257"/>
  <c r="V39" i="257"/>
  <c r="V47" i="257"/>
  <c r="V38" i="257" s="1"/>
  <c r="V56" i="257" s="1"/>
  <c r="V88" i="257" s="1"/>
  <c r="X39" i="257"/>
  <c r="X47" i="257"/>
  <c r="X38" i="257" s="1"/>
  <c r="X56" i="257" s="1"/>
  <c r="X88" i="257" s="1"/>
  <c r="R86" i="257"/>
  <c r="R32" i="257"/>
  <c r="S31" i="256"/>
  <c r="S72" i="256"/>
  <c r="S76" i="256" s="1"/>
  <c r="T34" i="261" s="1"/>
  <c r="AA31" i="256"/>
  <c r="AA72" i="256"/>
  <c r="AA76" i="256" s="1"/>
  <c r="AB34" i="261" s="1"/>
  <c r="W31" i="256"/>
  <c r="W72" i="256"/>
  <c r="W76" i="256" s="1"/>
  <c r="X34" i="261" s="1"/>
  <c r="W86" i="257"/>
  <c r="W32" i="257"/>
  <c r="W47" i="257"/>
  <c r="W38" i="257" s="1"/>
  <c r="W56" i="257" s="1"/>
  <c r="W88" i="257" s="1"/>
  <c r="W39" i="257"/>
  <c r="K42" i="257"/>
  <c r="K38" i="257" s="1"/>
  <c r="K56" i="257" s="1"/>
  <c r="K88" i="257" s="1"/>
  <c r="K39" i="257"/>
  <c r="L86" i="257"/>
  <c r="L32" i="257"/>
  <c r="P32" i="257"/>
  <c r="P86" i="257"/>
  <c r="V31" i="256"/>
  <c r="V72" i="256"/>
  <c r="V76" i="256" s="1"/>
  <c r="W34" i="261" s="1"/>
  <c r="V86" i="257"/>
  <c r="V32" i="257"/>
  <c r="Q47" i="257"/>
  <c r="Q38" i="257" s="1"/>
  <c r="Q56" i="257" s="1"/>
  <c r="Q88" i="257" s="1"/>
  <c r="Q39" i="257"/>
  <c r="I40" i="256"/>
  <c r="I35" i="256"/>
  <c r="I34" i="256"/>
  <c r="I44" i="256"/>
  <c r="I36" i="256"/>
  <c r="I38" i="256"/>
  <c r="I37" i="256"/>
  <c r="I32" i="256"/>
  <c r="P72" i="256"/>
  <c r="P76" i="256" s="1"/>
  <c r="Q34" i="261" s="1"/>
  <c r="P31" i="256"/>
  <c r="Y72" i="256"/>
  <c r="Y76" i="256" s="1"/>
  <c r="Z34" i="261" s="1"/>
  <c r="Y31" i="256"/>
  <c r="T72" i="256"/>
  <c r="T76" i="256" s="1"/>
  <c r="U34" i="261" s="1"/>
  <c r="T31" i="256"/>
  <c r="O86" i="257"/>
  <c r="O32" i="257"/>
  <c r="T32" i="257"/>
  <c r="T86" i="257"/>
  <c r="P39" i="257"/>
  <c r="P47" i="257"/>
  <c r="P38" i="257" s="1"/>
  <c r="P56" i="257" s="1"/>
  <c r="P88" i="257" s="1"/>
  <c r="S86" i="257"/>
  <c r="S32" i="257"/>
  <c r="X86" i="257"/>
  <c r="J31" i="256"/>
  <c r="J72" i="256"/>
  <c r="J76" i="256" s="1"/>
  <c r="K34" i="261" s="1"/>
  <c r="N86" i="257"/>
  <c r="N32" i="257"/>
  <c r="N39" i="257"/>
  <c r="N47" i="257"/>
  <c r="N38" i="257" s="1"/>
  <c r="N56" i="257" s="1"/>
  <c r="N88" i="257" s="1"/>
  <c r="R72" i="256"/>
  <c r="R76" i="256" s="1"/>
  <c r="S34" i="261" s="1"/>
  <c r="R31" i="256"/>
  <c r="L72" i="256"/>
  <c r="L76" i="256" s="1"/>
  <c r="M34" i="261" s="1"/>
  <c r="L31" i="256"/>
  <c r="Z86" i="257"/>
  <c r="Z31" i="256"/>
  <c r="Z72" i="256"/>
  <c r="Z76" i="256" s="1"/>
  <c r="AA34" i="261" s="1"/>
  <c r="U31" i="256"/>
  <c r="U72" i="256"/>
  <c r="U76" i="256" s="1"/>
  <c r="V34" i="261" s="1"/>
  <c r="X72" i="256"/>
  <c r="X76" i="256" s="1"/>
  <c r="Y34" i="261" s="1"/>
  <c r="X31" i="256"/>
  <c r="AB32" i="257"/>
  <c r="AB86" i="257"/>
  <c r="K72" i="256"/>
  <c r="K76" i="256" s="1"/>
  <c r="L34" i="261" s="1"/>
  <c r="K31" i="256"/>
  <c r="K32" i="257"/>
  <c r="K86" i="257"/>
  <c r="M39" i="257"/>
  <c r="L39" i="257"/>
  <c r="L42" i="257"/>
  <c r="L38" i="257" s="1"/>
  <c r="L56" i="257" s="1"/>
  <c r="L88" i="257" s="1"/>
  <c r="T39" i="257"/>
  <c r="T47" i="257"/>
  <c r="T38" i="257" s="1"/>
  <c r="T56" i="257" s="1"/>
  <c r="T88" i="257" s="1"/>
  <c r="Q31" i="256"/>
  <c r="Q72" i="256"/>
  <c r="Q76" i="256" s="1"/>
  <c r="R34" i="261" s="1"/>
  <c r="M72" i="256"/>
  <c r="M76" i="256" s="1"/>
  <c r="N34" i="261" s="1"/>
  <c r="M31" i="256"/>
  <c r="I44" i="257"/>
  <c r="I58" i="257"/>
  <c r="I45" i="257"/>
  <c r="I54" i="257"/>
  <c r="I33" i="257"/>
  <c r="S47" i="257"/>
  <c r="S38" i="257" s="1"/>
  <c r="S56" i="257" s="1"/>
  <c r="S88" i="257" s="1"/>
  <c r="S39" i="257"/>
  <c r="AA32" i="257"/>
  <c r="AA86" i="257"/>
  <c r="J32" i="257"/>
  <c r="J86" i="257"/>
  <c r="J39" i="257"/>
  <c r="J42" i="257"/>
  <c r="J38" i="257" s="1"/>
  <c r="J56" i="257" s="1"/>
  <c r="J88" i="257" s="1"/>
  <c r="R47" i="257"/>
  <c r="R38" i="257" s="1"/>
  <c r="R56" i="257" s="1"/>
  <c r="R88" i="257" s="1"/>
  <c r="R39" i="257"/>
  <c r="O72" i="256"/>
  <c r="O76" i="256" s="1"/>
  <c r="P34" i="261" s="1"/>
  <c r="O31" i="256"/>
  <c r="Q32" i="257"/>
  <c r="Q86" i="257"/>
  <c r="Z47" i="257"/>
  <c r="Z38" i="257" s="1"/>
  <c r="Z56" i="257" s="1"/>
  <c r="Z88" i="257" s="1"/>
  <c r="Z39" i="257"/>
  <c r="U32" i="257"/>
  <c r="U86" i="257"/>
  <c r="U47" i="257"/>
  <c r="U38" i="257" s="1"/>
  <c r="U56" i="257" s="1"/>
  <c r="U88" i="257" s="1"/>
  <c r="U39" i="257"/>
  <c r="AB39" i="257"/>
  <c r="AB47" i="257"/>
  <c r="AB38" i="257" s="1"/>
  <c r="AB56" i="257" s="1"/>
  <c r="AB88" i="257" s="1"/>
  <c r="Y86" i="257"/>
  <c r="Y32" i="257"/>
  <c r="Y39" i="257"/>
  <c r="Y47" i="257"/>
  <c r="Y38" i="257" s="1"/>
  <c r="Y56" i="257" s="1"/>
  <c r="Y88" i="257" s="1"/>
  <c r="O47" i="257"/>
  <c r="O38" i="257" s="1"/>
  <c r="O56" i="257" s="1"/>
  <c r="O88" i="257" s="1"/>
  <c r="O39" i="257"/>
  <c r="M32" i="257"/>
  <c r="M86" i="257"/>
  <c r="AB90" i="257" l="1"/>
  <c r="AB91" i="257" s="1"/>
  <c r="M56" i="257"/>
  <c r="M88" i="257" s="1"/>
  <c r="M90" i="257" s="1"/>
  <c r="N35" i="261" s="1"/>
  <c r="O90" i="257"/>
  <c r="P35" i="261" s="1"/>
  <c r="Z90" i="257"/>
  <c r="AA35" i="261" s="1"/>
  <c r="P90" i="257"/>
  <c r="Q35" i="261" s="1"/>
  <c r="AS29" i="257"/>
  <c r="AQ44" i="256"/>
  <c r="AR44" i="256"/>
  <c r="H39" i="257"/>
  <c r="H42" i="257"/>
  <c r="H38" i="257" s="1"/>
  <c r="H56" i="257" s="1"/>
  <c r="AR34" i="256"/>
  <c r="AQ34" i="256"/>
  <c r="AQ35" i="256"/>
  <c r="AR35" i="256"/>
  <c r="AQ37" i="256"/>
  <c r="AR37" i="256"/>
  <c r="AR54" i="257"/>
  <c r="AQ54" i="257"/>
  <c r="AQ38" i="256"/>
  <c r="AR38" i="256"/>
  <c r="H31" i="256"/>
  <c r="AR32" i="256"/>
  <c r="AQ32" i="256"/>
  <c r="H72" i="256"/>
  <c r="H32" i="257"/>
  <c r="AQ33" i="257"/>
  <c r="AR33" i="257"/>
  <c r="H86" i="257"/>
  <c r="H35" i="255"/>
  <c r="H76" i="255"/>
  <c r="W90" i="257"/>
  <c r="X35" i="261" s="1"/>
  <c r="AQ36" i="256"/>
  <c r="AR36" i="256"/>
  <c r="AQ40" i="256"/>
  <c r="AR40" i="256"/>
  <c r="AQ58" i="257"/>
  <c r="AR58" i="257"/>
  <c r="T90" i="257"/>
  <c r="U35" i="261" s="1"/>
  <c r="N90" i="257"/>
  <c r="O35" i="261" s="1"/>
  <c r="R90" i="257"/>
  <c r="S35" i="261" s="1"/>
  <c r="J90" i="257"/>
  <c r="K35" i="261" s="1"/>
  <c r="S90" i="257"/>
  <c r="T35" i="261" s="1"/>
  <c r="U90" i="257"/>
  <c r="V35" i="261" s="1"/>
  <c r="O77" i="256"/>
  <c r="O79" i="256"/>
  <c r="I40" i="257"/>
  <c r="D40" i="257" s="1"/>
  <c r="AR45" i="257"/>
  <c r="AQ45" i="257"/>
  <c r="R77" i="256"/>
  <c r="R79" i="256"/>
  <c r="V77" i="256"/>
  <c r="V79" i="256"/>
  <c r="W77" i="256"/>
  <c r="W79" i="256"/>
  <c r="AA77" i="256"/>
  <c r="AA79" i="256"/>
  <c r="V90" i="257"/>
  <c r="W35" i="261" s="1"/>
  <c r="N77" i="256"/>
  <c r="N79" i="256"/>
  <c r="Y90" i="257"/>
  <c r="Z35" i="261" s="1"/>
  <c r="AB93" i="257"/>
  <c r="I32" i="257"/>
  <c r="I86" i="257"/>
  <c r="Z77" i="256"/>
  <c r="Z79" i="256"/>
  <c r="J77" i="256"/>
  <c r="J79" i="256"/>
  <c r="Y77" i="256"/>
  <c r="Y79" i="256"/>
  <c r="P77" i="256"/>
  <c r="P79" i="256"/>
  <c r="Q90" i="257"/>
  <c r="R35" i="261" s="1"/>
  <c r="L90" i="257"/>
  <c r="M35" i="261" s="1"/>
  <c r="AA90" i="257"/>
  <c r="AB35" i="261" s="1"/>
  <c r="M77" i="256"/>
  <c r="M79" i="256"/>
  <c r="K77" i="256"/>
  <c r="K79" i="256"/>
  <c r="X77" i="256"/>
  <c r="X79" i="256"/>
  <c r="L77" i="256"/>
  <c r="L79" i="256"/>
  <c r="I72" i="256"/>
  <c r="I31" i="256"/>
  <c r="S77" i="256"/>
  <c r="S79" i="256"/>
  <c r="X90" i="257"/>
  <c r="Y35" i="261" s="1"/>
  <c r="I42" i="257"/>
  <c r="I38" i="257" s="1"/>
  <c r="D38" i="257" s="1"/>
  <c r="AQ44" i="257"/>
  <c r="I39" i="257"/>
  <c r="AR44" i="257"/>
  <c r="Q77" i="256"/>
  <c r="Q79" i="256"/>
  <c r="U77" i="256"/>
  <c r="U79" i="256"/>
  <c r="T77" i="256"/>
  <c r="T79" i="256"/>
  <c r="K90" i="257"/>
  <c r="L35" i="261" s="1"/>
  <c r="AB77" i="256"/>
  <c r="AB79" i="256"/>
  <c r="Z91" i="257" l="1"/>
  <c r="P91" i="257"/>
  <c r="Z93" i="257"/>
  <c r="P93" i="257"/>
  <c r="W93" i="257"/>
  <c r="O93" i="257"/>
  <c r="W91" i="257"/>
  <c r="O91" i="257"/>
  <c r="AQ40" i="257"/>
  <c r="AQ38" i="257"/>
  <c r="AR38" i="257"/>
  <c r="H88" i="257"/>
  <c r="H90" i="257" s="1"/>
  <c r="AR40" i="257"/>
  <c r="AT40" i="257" s="1"/>
  <c r="AQ39" i="257"/>
  <c r="D39" i="257"/>
  <c r="AR39" i="257"/>
  <c r="AT39" i="257" s="1"/>
  <c r="AQ32" i="257"/>
  <c r="AR32" i="257"/>
  <c r="AS32" i="257" s="1"/>
  <c r="AQ31" i="256"/>
  <c r="AR31" i="256"/>
  <c r="AS31" i="256" s="1"/>
  <c r="AR86" i="257"/>
  <c r="AQ86" i="257"/>
  <c r="AQ72" i="256"/>
  <c r="AR72" i="256"/>
  <c r="H76" i="256"/>
  <c r="T91" i="257"/>
  <c r="J91" i="257"/>
  <c r="U91" i="257"/>
  <c r="J93" i="257"/>
  <c r="T93" i="257"/>
  <c r="U93" i="257"/>
  <c r="R91" i="257"/>
  <c r="N93" i="257"/>
  <c r="R93" i="257"/>
  <c r="N91" i="257"/>
  <c r="S93" i="257"/>
  <c r="S91" i="257"/>
  <c r="I56" i="257"/>
  <c r="X91" i="257"/>
  <c r="X93" i="257"/>
  <c r="AA91" i="257"/>
  <c r="AA93" i="257"/>
  <c r="Q91" i="257"/>
  <c r="Q93" i="257"/>
  <c r="Y91" i="257"/>
  <c r="Y93" i="257"/>
  <c r="K91" i="257"/>
  <c r="K93" i="257"/>
  <c r="M91" i="257"/>
  <c r="M93" i="257"/>
  <c r="I76" i="256"/>
  <c r="L93" i="257"/>
  <c r="L91" i="257"/>
  <c r="V91" i="257"/>
  <c r="V93" i="257"/>
  <c r="AT42" i="257" l="1"/>
  <c r="D56" i="257"/>
  <c r="AQ56" i="257"/>
  <c r="AR56" i="257"/>
  <c r="AS56" i="257" s="1"/>
  <c r="I34" i="261"/>
  <c r="AR76" i="256"/>
  <c r="AQ76" i="256"/>
  <c r="AS72" i="256" s="1"/>
  <c r="H79" i="256"/>
  <c r="H77" i="256"/>
  <c r="J34" i="261"/>
  <c r="I77" i="256"/>
  <c r="I79" i="256"/>
  <c r="I88" i="257"/>
  <c r="D34" i="261" l="1"/>
  <c r="AQ77" i="256"/>
  <c r="AR77" i="256"/>
  <c r="AR88" i="257"/>
  <c r="AQ88" i="257"/>
  <c r="I90" i="257"/>
  <c r="AR79" i="256"/>
  <c r="AS74" i="256"/>
  <c r="J35" i="261" l="1"/>
  <c r="I35" i="261"/>
  <c r="AR90" i="257"/>
  <c r="AQ90" i="257"/>
  <c r="AR93" i="257" s="1"/>
  <c r="H93" i="257"/>
  <c r="H91" i="257"/>
  <c r="I91" i="257"/>
  <c r="I93" i="257"/>
  <c r="D35" i="261" l="1"/>
  <c r="AR91" i="257"/>
  <c r="AQ91" i="257"/>
  <c r="AS88" i="257"/>
  <c r="AS86" i="257"/>
  <c r="O17" i="260" l="1"/>
  <c r="O55" i="260" s="1"/>
  <c r="Q17" i="260"/>
  <c r="Q55" i="260" s="1"/>
  <c r="L17" i="260"/>
  <c r="L55" i="260" s="1"/>
  <c r="H17" i="260"/>
  <c r="H55" i="260" s="1"/>
  <c r="R17" i="260"/>
  <c r="R55" i="260" s="1"/>
  <c r="K15" i="260"/>
  <c r="S15" i="260"/>
  <c r="L15" i="260"/>
  <c r="G17" i="260"/>
  <c r="G55" i="260" s="1"/>
  <c r="U17" i="260"/>
  <c r="U55" i="260" s="1"/>
  <c r="K17" i="260"/>
  <c r="K55" i="260" s="1"/>
  <c r="U15" i="260"/>
  <c r="X15" i="260"/>
  <c r="T17" i="260"/>
  <c r="T55" i="260" s="1"/>
  <c r="H15" i="260"/>
  <c r="S17" i="260"/>
  <c r="S55" i="260" s="1"/>
  <c r="T15" i="260"/>
  <c r="M15" i="260"/>
  <c r="J17" i="260"/>
  <c r="J55" i="260" s="1"/>
  <c r="N17" i="260"/>
  <c r="N55" i="260" s="1"/>
  <c r="I17" i="260"/>
  <c r="I55" i="260" s="1"/>
  <c r="F17" i="260"/>
  <c r="F55" i="260" s="1"/>
  <c r="V17" i="260"/>
  <c r="V55" i="260" s="1"/>
  <c r="Q15" i="260"/>
  <c r="I15" i="260"/>
  <c r="J15" i="260"/>
  <c r="W15" i="260"/>
  <c r="X17" i="260"/>
  <c r="X55" i="260" s="1"/>
  <c r="Y17" i="260"/>
  <c r="Y55" i="260" s="1"/>
  <c r="P17" i="260"/>
  <c r="P55" i="260" s="1"/>
  <c r="F15" i="260"/>
  <c r="G15" i="260"/>
  <c r="M17" i="260"/>
  <c r="M55" i="260" s="1"/>
  <c r="W17" i="260"/>
  <c r="W55" i="260" s="1"/>
  <c r="V15" i="260"/>
  <c r="N15" i="260"/>
  <c r="C17" i="260" l="1"/>
  <c r="AC10" i="260" l="1"/>
  <c r="T11" i="260" s="1"/>
  <c r="AC40" i="260"/>
  <c r="E11" i="260" l="1"/>
  <c r="W11" i="260"/>
  <c r="F11" i="260"/>
  <c r="K11" i="260"/>
  <c r="P11" i="260"/>
  <c r="Q11" i="260"/>
  <c r="J11" i="260"/>
  <c r="U11" i="260"/>
  <c r="G11" i="260"/>
  <c r="V11" i="260"/>
  <c r="L11" i="260"/>
  <c r="S11" i="260"/>
  <c r="R11" i="260"/>
  <c r="M11" i="260"/>
  <c r="H11" i="260"/>
  <c r="X11" i="260"/>
  <c r="O11" i="260"/>
  <c r="N11" i="260"/>
  <c r="I11" i="260"/>
  <c r="Y11" i="260"/>
  <c r="G41" i="260"/>
  <c r="C11" i="260" l="1"/>
  <c r="X41" i="260"/>
  <c r="V41" i="260"/>
  <c r="T41" i="260"/>
  <c r="R41" i="260"/>
  <c r="P41" i="260"/>
  <c r="N41" i="260"/>
  <c r="L41" i="260"/>
  <c r="J41" i="260"/>
  <c r="H41" i="260"/>
  <c r="F41" i="260"/>
  <c r="Y41" i="260"/>
  <c r="W41" i="260"/>
  <c r="U41" i="260"/>
  <c r="S41" i="260"/>
  <c r="Q41" i="260"/>
  <c r="O41" i="260"/>
  <c r="M41" i="260"/>
  <c r="K41" i="260"/>
  <c r="I41" i="260"/>
  <c r="E41" i="260"/>
  <c r="C41" i="260" l="1"/>
  <c r="G40" i="261" l="1"/>
  <c r="G39" i="261" s="1"/>
  <c r="H40" i="261"/>
  <c r="H39" i="261" s="1"/>
  <c r="F40" i="261"/>
  <c r="F39" i="261" l="1"/>
  <c r="Q40" i="261" l="1"/>
  <c r="W40" i="261" l="1"/>
  <c r="AB40" i="261"/>
  <c r="O40" i="261"/>
  <c r="V40" i="261"/>
  <c r="L40" i="261"/>
  <c r="S40" i="261"/>
  <c r="I40" i="261"/>
  <c r="K40" i="261"/>
  <c r="U40" i="261"/>
  <c r="Y40" i="261"/>
  <c r="T40" i="261"/>
  <c r="Z40" i="261"/>
  <c r="N40" i="261"/>
  <c r="M40" i="261"/>
  <c r="X40" i="261"/>
  <c r="J40" i="261"/>
  <c r="AA40" i="261"/>
  <c r="R40" i="261"/>
  <c r="P40" i="261"/>
  <c r="D40" i="261" l="1"/>
  <c r="L25" i="255" l="1"/>
  <c r="Q25" i="255"/>
  <c r="Q28" i="255" s="1"/>
  <c r="O25" i="255"/>
  <c r="AB25" i="255"/>
  <c r="W25" i="255"/>
  <c r="S25" i="255"/>
  <c r="P25" i="255"/>
  <c r="N25" i="255"/>
  <c r="U25" i="255"/>
  <c r="Z25" i="255"/>
  <c r="R25" i="255"/>
  <c r="K25" i="255"/>
  <c r="X25" i="255"/>
  <c r="Y25" i="255"/>
  <c r="M25" i="255"/>
  <c r="AA25" i="255"/>
  <c r="J25" i="255"/>
  <c r="T25" i="255"/>
  <c r="V25" i="255"/>
  <c r="I25" i="255"/>
  <c r="I28" i="255" s="1"/>
  <c r="T28" i="255" l="1"/>
  <c r="T27" i="255" s="1"/>
  <c r="T29" i="255" s="1"/>
  <c r="AA28" i="255"/>
  <c r="AA27" i="255" s="1"/>
  <c r="AA29" i="255" s="1"/>
  <c r="Y28" i="255"/>
  <c r="Y27" i="255" s="1"/>
  <c r="Y29" i="255" s="1"/>
  <c r="K28" i="255"/>
  <c r="K27" i="255" s="1"/>
  <c r="K29" i="255" s="1"/>
  <c r="Z28" i="255"/>
  <c r="Z27" i="255" s="1"/>
  <c r="N28" i="255"/>
  <c r="N27" i="255" s="1"/>
  <c r="N29" i="255" s="1"/>
  <c r="S28" i="255"/>
  <c r="S27" i="255" s="1"/>
  <c r="AB28" i="255"/>
  <c r="AB27" i="255" s="1"/>
  <c r="AB29" i="255" s="1"/>
  <c r="V28" i="255"/>
  <c r="V27" i="255" s="1"/>
  <c r="V29" i="255" s="1"/>
  <c r="J28" i="255"/>
  <c r="J27" i="255" s="1"/>
  <c r="J29" i="255" s="1"/>
  <c r="M28" i="255"/>
  <c r="M27" i="255" s="1"/>
  <c r="M29" i="255" s="1"/>
  <c r="X28" i="255"/>
  <c r="X27" i="255" s="1"/>
  <c r="X29" i="255" s="1"/>
  <c r="R28" i="255"/>
  <c r="R27" i="255" s="1"/>
  <c r="R29" i="255" s="1"/>
  <c r="U28" i="255"/>
  <c r="U27" i="255" s="1"/>
  <c r="U29" i="255" s="1"/>
  <c r="P28" i="255"/>
  <c r="P27" i="255" s="1"/>
  <c r="P29" i="255" s="1"/>
  <c r="W28" i="255"/>
  <c r="W27" i="255" s="1"/>
  <c r="O28" i="255"/>
  <c r="O27" i="255" s="1"/>
  <c r="O29" i="255" s="1"/>
  <c r="L28" i="255"/>
  <c r="L27" i="255" s="1"/>
  <c r="L29" i="255" s="1"/>
  <c r="AR25" i="255"/>
  <c r="AB32" i="255"/>
  <c r="S29" i="255" l="1"/>
  <c r="S32" i="255"/>
  <c r="Z29" i="255"/>
  <c r="Z33" i="255"/>
  <c r="Z38" i="255" s="1"/>
  <c r="W29" i="255"/>
  <c r="W33" i="255"/>
  <c r="W38" i="255" s="1"/>
  <c r="Q27" i="255"/>
  <c r="Q32" i="255" s="1"/>
  <c r="I27" i="255"/>
  <c r="I29" i="255" s="1"/>
  <c r="J32" i="255"/>
  <c r="L32" i="255"/>
  <c r="X32" i="255"/>
  <c r="J33" i="255"/>
  <c r="J38" i="255" s="1"/>
  <c r="T32" i="255"/>
  <c r="S33" i="255"/>
  <c r="S38" i="255" s="1"/>
  <c r="V32" i="255"/>
  <c r="R32" i="255"/>
  <c r="V33" i="255"/>
  <c r="V38" i="255" s="1"/>
  <c r="AA32" i="255"/>
  <c r="N33" i="255"/>
  <c r="N38" i="255" s="1"/>
  <c r="R33" i="255"/>
  <c r="R38" i="255" s="1"/>
  <c r="M33" i="255"/>
  <c r="M38" i="255" s="1"/>
  <c r="W32" i="255"/>
  <c r="O32" i="255"/>
  <c r="K32" i="255"/>
  <c r="N32" i="255"/>
  <c r="Y32" i="255"/>
  <c r="M32" i="255"/>
  <c r="Z32" i="255"/>
  <c r="U32" i="255"/>
  <c r="P32" i="255"/>
  <c r="AB33" i="255"/>
  <c r="AB38" i="255" s="1"/>
  <c r="X33" i="255"/>
  <c r="X38" i="255" s="1"/>
  <c r="AA33" i="255"/>
  <c r="AA48" i="255" s="1"/>
  <c r="O33" i="255"/>
  <c r="O38" i="255" s="1"/>
  <c r="T33" i="255"/>
  <c r="T38" i="255" s="1"/>
  <c r="K33" i="255"/>
  <c r="K41" i="255" s="1"/>
  <c r="Y33" i="255"/>
  <c r="Y38" i="255" s="1"/>
  <c r="L33" i="255"/>
  <c r="L39" i="255" s="1"/>
  <c r="U33" i="255"/>
  <c r="U38" i="255" s="1"/>
  <c r="P33" i="255"/>
  <c r="P36" i="255" s="1"/>
  <c r="P35" i="255" s="1"/>
  <c r="Q33" i="255" l="1"/>
  <c r="Q38" i="255" s="1"/>
  <c r="M36" i="255"/>
  <c r="M35" i="255" s="1"/>
  <c r="N42" i="255"/>
  <c r="V42" i="255"/>
  <c r="M11" i="261"/>
  <c r="Z36" i="255"/>
  <c r="Z35" i="255" s="1"/>
  <c r="W48" i="255"/>
  <c r="Z41" i="255"/>
  <c r="S42" i="255"/>
  <c r="W42" i="255"/>
  <c r="W39" i="255"/>
  <c r="Z42" i="255"/>
  <c r="T41" i="255"/>
  <c r="S36" i="255"/>
  <c r="S35" i="255" s="1"/>
  <c r="W36" i="255"/>
  <c r="W35" i="255" s="1"/>
  <c r="W41" i="255"/>
  <c r="W40" i="255"/>
  <c r="Z40" i="255"/>
  <c r="Z39" i="255"/>
  <c r="Z48" i="255"/>
  <c r="J41" i="255"/>
  <c r="S48" i="255"/>
  <c r="U39" i="255"/>
  <c r="J48" i="255"/>
  <c r="J36" i="255"/>
  <c r="J35" i="255" s="1"/>
  <c r="I33" i="255"/>
  <c r="M40" i="255"/>
  <c r="V36" i="255"/>
  <c r="V35" i="255" s="1"/>
  <c r="K48" i="255"/>
  <c r="Y48" i="255"/>
  <c r="S41" i="255"/>
  <c r="S40" i="255"/>
  <c r="S39" i="255"/>
  <c r="AB42" i="255"/>
  <c r="J42" i="255"/>
  <c r="J40" i="255"/>
  <c r="J39" i="255"/>
  <c r="AA41" i="255"/>
  <c r="I32" i="255"/>
  <c r="AR32" i="255" s="1"/>
  <c r="AR27" i="255"/>
  <c r="Q29" i="255"/>
  <c r="AR29" i="255" s="1"/>
  <c r="X48" i="255"/>
  <c r="P42" i="255"/>
  <c r="V39" i="255"/>
  <c r="N36" i="255"/>
  <c r="N35" i="255" s="1"/>
  <c r="K39" i="255"/>
  <c r="M41" i="255"/>
  <c r="M39" i="255"/>
  <c r="N48" i="255"/>
  <c r="O42" i="255"/>
  <c r="P39" i="255"/>
  <c r="V48" i="255"/>
  <c r="V40" i="255"/>
  <c r="V41" i="255"/>
  <c r="L38" i="255"/>
  <c r="K42" i="255"/>
  <c r="K36" i="255"/>
  <c r="K35" i="255" s="1"/>
  <c r="Y36" i="255"/>
  <c r="Y35" i="255" s="1"/>
  <c r="T40" i="255"/>
  <c r="R41" i="255"/>
  <c r="U40" i="255"/>
  <c r="Y40" i="255"/>
  <c r="T48" i="255"/>
  <c r="AB40" i="255"/>
  <c r="R36" i="255"/>
  <c r="R35" i="255" s="1"/>
  <c r="R42" i="255"/>
  <c r="U42" i="255"/>
  <c r="AA39" i="255"/>
  <c r="AB36" i="255"/>
  <c r="AB35" i="255" s="1"/>
  <c r="AA36" i="255"/>
  <c r="AA35" i="255" s="1"/>
  <c r="Y39" i="255"/>
  <c r="Y42" i="255"/>
  <c r="Y41" i="255"/>
  <c r="T36" i="255"/>
  <c r="T35" i="255" s="1"/>
  <c r="T42" i="255"/>
  <c r="T39" i="255"/>
  <c r="AB48" i="255"/>
  <c r="AB39" i="255"/>
  <c r="AB41" i="255"/>
  <c r="R48" i="255"/>
  <c r="R39" i="255"/>
  <c r="R40" i="255"/>
  <c r="U41" i="255"/>
  <c r="U36" i="255"/>
  <c r="U35" i="255" s="1"/>
  <c r="U48" i="255"/>
  <c r="AA40" i="255"/>
  <c r="AA38" i="255"/>
  <c r="AA42" i="255"/>
  <c r="M48" i="255"/>
  <c r="M42" i="255"/>
  <c r="N39" i="255"/>
  <c r="N41" i="255"/>
  <c r="N40" i="255"/>
  <c r="X42" i="255"/>
  <c r="X41" i="255"/>
  <c r="O41" i="255"/>
  <c r="P41" i="255"/>
  <c r="O36" i="255"/>
  <c r="O35" i="255" s="1"/>
  <c r="P38" i="255"/>
  <c r="L48" i="255"/>
  <c r="X36" i="255"/>
  <c r="X35" i="255" s="1"/>
  <c r="X40" i="255"/>
  <c r="X39" i="255"/>
  <c r="O40" i="255"/>
  <c r="O39" i="255"/>
  <c r="O48" i="255"/>
  <c r="P40" i="255"/>
  <c r="P48" i="255"/>
  <c r="L42" i="255"/>
  <c r="L36" i="255"/>
  <c r="L35" i="255" s="1"/>
  <c r="K40" i="255"/>
  <c r="K38" i="255"/>
  <c r="L40" i="255"/>
  <c r="L41" i="255"/>
  <c r="AQ44" i="255"/>
  <c r="P76" i="255"/>
  <c r="Q39" i="255" l="1"/>
  <c r="M76" i="255"/>
  <c r="D44" i="255"/>
  <c r="Q48" i="255"/>
  <c r="Q40" i="255"/>
  <c r="R76" i="255"/>
  <c r="AB76" i="255"/>
  <c r="AB80" i="255" s="1"/>
  <c r="AB81" i="255" s="1"/>
  <c r="K76" i="255"/>
  <c r="Q41" i="255"/>
  <c r="Q36" i="255"/>
  <c r="Q35" i="255" s="1"/>
  <c r="Q42" i="255"/>
  <c r="P11" i="261"/>
  <c r="G11" i="261"/>
  <c r="S11" i="261"/>
  <c r="AA11" i="261"/>
  <c r="T11" i="261"/>
  <c r="J11" i="261"/>
  <c r="Y11" i="261"/>
  <c r="I11" i="261"/>
  <c r="Q11" i="261"/>
  <c r="AB11" i="261"/>
  <c r="R11" i="261"/>
  <c r="AR33" i="255"/>
  <c r="I41" i="255"/>
  <c r="I42" i="255"/>
  <c r="H11" i="261"/>
  <c r="W11" i="261"/>
  <c r="L11" i="261"/>
  <c r="V11" i="261"/>
  <c r="K11" i="261"/>
  <c r="Z11" i="261"/>
  <c r="O11" i="261"/>
  <c r="X11" i="261"/>
  <c r="N11" i="261"/>
  <c r="U11" i="261"/>
  <c r="U76" i="255"/>
  <c r="Z76" i="255"/>
  <c r="S76" i="255"/>
  <c r="I40" i="255"/>
  <c r="I48" i="255"/>
  <c r="J76" i="255"/>
  <c r="W76" i="255"/>
  <c r="AQ33" i="255"/>
  <c r="I36" i="255"/>
  <c r="I39" i="255"/>
  <c r="AQ39" i="255" s="1"/>
  <c r="I38" i="255"/>
  <c r="AQ38" i="255" s="1"/>
  <c r="X76" i="255"/>
  <c r="V76" i="255"/>
  <c r="AA76" i="255"/>
  <c r="Y76" i="255"/>
  <c r="L76" i="255"/>
  <c r="AQ29" i="255"/>
  <c r="T76" i="255"/>
  <c r="N76" i="255"/>
  <c r="O76" i="255"/>
  <c r="AS32" i="255"/>
  <c r="AR44" i="255"/>
  <c r="I9" i="261"/>
  <c r="AB83" i="255"/>
  <c r="AQ48" i="255" l="1"/>
  <c r="AR40" i="255"/>
  <c r="AR41" i="255"/>
  <c r="AR48" i="255"/>
  <c r="Q76" i="255"/>
  <c r="AQ36" i="255"/>
  <c r="AQ41" i="255"/>
  <c r="AR42" i="255"/>
  <c r="AR36" i="255"/>
  <c r="AR38" i="255"/>
  <c r="AQ42" i="255"/>
  <c r="AQ40" i="255"/>
  <c r="I35" i="255"/>
  <c r="AR35" i="255" s="1"/>
  <c r="AS35" i="255" s="1"/>
  <c r="I76" i="255"/>
  <c r="D46" i="255"/>
  <c r="N46" i="255" s="1"/>
  <c r="N78" i="255" s="1"/>
  <c r="N80" i="255" s="1"/>
  <c r="O32" i="261" s="1"/>
  <c r="AR39" i="255"/>
  <c r="J29" i="261"/>
  <c r="N29" i="261"/>
  <c r="R29" i="261"/>
  <c r="V29" i="261"/>
  <c r="Z29" i="261"/>
  <c r="K29" i="261"/>
  <c r="P29" i="261"/>
  <c r="U29" i="261"/>
  <c r="AA29" i="261"/>
  <c r="G29" i="261"/>
  <c r="L29" i="261"/>
  <c r="Q29" i="261"/>
  <c r="W29" i="261"/>
  <c r="AB29" i="261"/>
  <c r="H29" i="261"/>
  <c r="M29" i="261"/>
  <c r="S29" i="261"/>
  <c r="X29" i="261"/>
  <c r="I29" i="261"/>
  <c r="O29" i="261"/>
  <c r="T29" i="261"/>
  <c r="Y29" i="261"/>
  <c r="I13" i="261"/>
  <c r="M13" i="261"/>
  <c r="Q13" i="261"/>
  <c r="U13" i="261"/>
  <c r="Y13" i="261"/>
  <c r="K13" i="261"/>
  <c r="P13" i="261"/>
  <c r="V13" i="261"/>
  <c r="AA13" i="261"/>
  <c r="L13" i="261"/>
  <c r="R13" i="261"/>
  <c r="W13" i="261"/>
  <c r="AB13" i="261"/>
  <c r="H13" i="261"/>
  <c r="N13" i="261"/>
  <c r="S13" i="261"/>
  <c r="X13" i="261"/>
  <c r="J13" i="261"/>
  <c r="O13" i="261"/>
  <c r="T13" i="261"/>
  <c r="Z13" i="261"/>
  <c r="G13" i="261"/>
  <c r="I26" i="261"/>
  <c r="M26" i="261"/>
  <c r="Q26" i="261"/>
  <c r="U26" i="261"/>
  <c r="Y26" i="261"/>
  <c r="J26" i="261"/>
  <c r="O26" i="261"/>
  <c r="T26" i="261"/>
  <c r="Z26" i="261"/>
  <c r="K26" i="261"/>
  <c r="P26" i="261"/>
  <c r="V26" i="261"/>
  <c r="AA26" i="261"/>
  <c r="L26" i="261"/>
  <c r="R26" i="261"/>
  <c r="W26" i="261"/>
  <c r="AB26" i="261"/>
  <c r="H26" i="261"/>
  <c r="N26" i="261"/>
  <c r="S26" i="261"/>
  <c r="X26" i="261"/>
  <c r="G26" i="261"/>
  <c r="I10" i="261"/>
  <c r="M10" i="261"/>
  <c r="Q10" i="261"/>
  <c r="U10" i="261"/>
  <c r="Y10" i="261"/>
  <c r="H10" i="261"/>
  <c r="L10" i="261"/>
  <c r="R10" i="261"/>
  <c r="W10" i="261"/>
  <c r="AB10" i="261"/>
  <c r="N10" i="261"/>
  <c r="S10" i="261"/>
  <c r="X10" i="261"/>
  <c r="J10" i="261"/>
  <c r="O10" i="261"/>
  <c r="T10" i="261"/>
  <c r="Z10" i="261"/>
  <c r="G10" i="261"/>
  <c r="K10" i="261"/>
  <c r="P10" i="261"/>
  <c r="V10" i="261"/>
  <c r="AA10" i="261"/>
  <c r="K28" i="261"/>
  <c r="O28" i="261"/>
  <c r="S28" i="261"/>
  <c r="W28" i="261"/>
  <c r="AA28" i="261"/>
  <c r="J28" i="261"/>
  <c r="P28" i="261"/>
  <c r="U28" i="261"/>
  <c r="Z28" i="261"/>
  <c r="L28" i="261"/>
  <c r="Q28" i="261"/>
  <c r="V28" i="261"/>
  <c r="AB28" i="261"/>
  <c r="G28" i="261"/>
  <c r="H28" i="261"/>
  <c r="M28" i="261"/>
  <c r="R28" i="261"/>
  <c r="X28" i="261"/>
  <c r="I28" i="261"/>
  <c r="N28" i="261"/>
  <c r="T28" i="261"/>
  <c r="Y28" i="261"/>
  <c r="H27" i="261"/>
  <c r="L27" i="261"/>
  <c r="P27" i="261"/>
  <c r="T27" i="261"/>
  <c r="X27" i="261"/>
  <c r="AB27" i="261"/>
  <c r="J27" i="261"/>
  <c r="O27" i="261"/>
  <c r="U27" i="261"/>
  <c r="Z27" i="261"/>
  <c r="K27" i="261"/>
  <c r="Q27" i="261"/>
  <c r="V27" i="261"/>
  <c r="AA27" i="261"/>
  <c r="M27" i="261"/>
  <c r="R27" i="261"/>
  <c r="W27" i="261"/>
  <c r="G27" i="261"/>
  <c r="I27" i="261"/>
  <c r="N27" i="261"/>
  <c r="S27" i="261"/>
  <c r="Y27" i="261"/>
  <c r="J9" i="261"/>
  <c r="N9" i="261"/>
  <c r="R9" i="261"/>
  <c r="V9" i="261"/>
  <c r="Z9" i="261"/>
  <c r="G9" i="261"/>
  <c r="K9" i="261"/>
  <c r="O9" i="261"/>
  <c r="S9" i="261"/>
  <c r="W9" i="261"/>
  <c r="AA9" i="261"/>
  <c r="F9" i="261"/>
  <c r="L9" i="261"/>
  <c r="P9" i="261"/>
  <c r="T9" i="261"/>
  <c r="X9" i="261"/>
  <c r="AB9" i="261"/>
  <c r="M9" i="261"/>
  <c r="Q9" i="261"/>
  <c r="U9" i="261"/>
  <c r="Y9" i="261"/>
  <c r="H9" i="261"/>
  <c r="F13" i="261"/>
  <c r="F27" i="261"/>
  <c r="F28" i="261"/>
  <c r="F10" i="261"/>
  <c r="F29" i="261"/>
  <c r="F11" i="261"/>
  <c r="F26" i="261"/>
  <c r="AR76" i="255" l="1"/>
  <c r="X46" i="255"/>
  <c r="X78" i="255" s="1"/>
  <c r="X80" i="255" s="1"/>
  <c r="X81" i="255" s="1"/>
  <c r="U46" i="255"/>
  <c r="U78" i="255" s="1"/>
  <c r="U80" i="255" s="1"/>
  <c r="V32" i="261" s="1"/>
  <c r="Y46" i="255"/>
  <c r="Y78" i="255" s="1"/>
  <c r="Y80" i="255" s="1"/>
  <c r="Z32" i="261" s="1"/>
  <c r="AQ76" i="255"/>
  <c r="AQ35" i="255"/>
  <c r="K46" i="255"/>
  <c r="K78" i="255" s="1"/>
  <c r="K80" i="255" s="1"/>
  <c r="K83" i="255" s="1"/>
  <c r="R46" i="255"/>
  <c r="R78" i="255" s="1"/>
  <c r="R80" i="255" s="1"/>
  <c r="S33" i="261" s="1"/>
  <c r="T46" i="255"/>
  <c r="T78" i="255" s="1"/>
  <c r="T80" i="255" s="1"/>
  <c r="T81" i="255" s="1"/>
  <c r="Q46" i="255"/>
  <c r="Q78" i="255" s="1"/>
  <c r="Q80" i="255" s="1"/>
  <c r="Q81" i="255" s="1"/>
  <c r="H46" i="255"/>
  <c r="H78" i="255" s="1"/>
  <c r="J46" i="255"/>
  <c r="J78" i="255" s="1"/>
  <c r="J80" i="255" s="1"/>
  <c r="K32" i="261" s="1"/>
  <c r="M46" i="255"/>
  <c r="M78" i="255" s="1"/>
  <c r="M80" i="255" s="1"/>
  <c r="N32" i="261" s="1"/>
  <c r="AA46" i="255"/>
  <c r="AA78" i="255" s="1"/>
  <c r="AA80" i="255" s="1"/>
  <c r="AB33" i="261" s="1"/>
  <c r="Z46" i="255"/>
  <c r="Z78" i="255" s="1"/>
  <c r="Z80" i="255" s="1"/>
  <c r="Z83" i="255" s="1"/>
  <c r="W46" i="255"/>
  <c r="W78" i="255" s="1"/>
  <c r="W80" i="255" s="1"/>
  <c r="X33" i="261" s="1"/>
  <c r="P46" i="255"/>
  <c r="P78" i="255" s="1"/>
  <c r="P80" i="255" s="1"/>
  <c r="Q33" i="261" s="1"/>
  <c r="I46" i="255"/>
  <c r="I78" i="255" s="1"/>
  <c r="I80" i="255" s="1"/>
  <c r="I81" i="255" s="1"/>
  <c r="AB46" i="255"/>
  <c r="AB78" i="255" s="1"/>
  <c r="O46" i="255"/>
  <c r="O78" i="255" s="1"/>
  <c r="O80" i="255" s="1"/>
  <c r="P33" i="261" s="1"/>
  <c r="V46" i="255"/>
  <c r="V78" i="255" s="1"/>
  <c r="V80" i="255" s="1"/>
  <c r="L46" i="255"/>
  <c r="L78" i="255" s="1"/>
  <c r="L80" i="255" s="1"/>
  <c r="S46" i="255"/>
  <c r="S78" i="255" s="1"/>
  <c r="S80" i="255" s="1"/>
  <c r="D9" i="261"/>
  <c r="A9" i="261" s="1"/>
  <c r="N83" i="255"/>
  <c r="N81" i="255"/>
  <c r="O33" i="261"/>
  <c r="O31" i="261" s="1"/>
  <c r="D26" i="261"/>
  <c r="A26" i="261" s="1"/>
  <c r="D13" i="261"/>
  <c r="A13" i="261" s="1"/>
  <c r="D28" i="261"/>
  <c r="A28" i="261" s="1"/>
  <c r="D27" i="261"/>
  <c r="A27" i="261" s="1"/>
  <c r="D29" i="261"/>
  <c r="A29" i="261" s="1"/>
  <c r="D11" i="261"/>
  <c r="A11" i="261" s="1"/>
  <c r="D10" i="261"/>
  <c r="A10" i="261" s="1"/>
  <c r="H80" i="255" l="1"/>
  <c r="AR80" i="255" s="1"/>
  <c r="U81" i="255"/>
  <c r="Z33" i="261"/>
  <c r="Z31" i="261" s="1"/>
  <c r="Y83" i="255"/>
  <c r="I83" i="255"/>
  <c r="X83" i="255"/>
  <c r="Y32" i="261"/>
  <c r="L33" i="261"/>
  <c r="K81" i="255"/>
  <c r="Y81" i="255"/>
  <c r="Y33" i="261"/>
  <c r="U83" i="255"/>
  <c r="R33" i="261"/>
  <c r="V33" i="261"/>
  <c r="V31" i="261" s="1"/>
  <c r="L32" i="261"/>
  <c r="K33" i="261"/>
  <c r="K31" i="261" s="1"/>
  <c r="AB32" i="261"/>
  <c r="AB31" i="261" s="1"/>
  <c r="R32" i="261"/>
  <c r="AA33" i="261"/>
  <c r="M83" i="255"/>
  <c r="M81" i="255"/>
  <c r="AA32" i="261"/>
  <c r="Q83" i="255"/>
  <c r="U33" i="261"/>
  <c r="P32" i="261"/>
  <c r="P31" i="261" s="1"/>
  <c r="P83" i="255"/>
  <c r="X32" i="261"/>
  <c r="X31" i="261" s="1"/>
  <c r="AA83" i="255"/>
  <c r="AA81" i="255"/>
  <c r="U32" i="261"/>
  <c r="O83" i="255"/>
  <c r="W81" i="255"/>
  <c r="O81" i="255"/>
  <c r="J81" i="255"/>
  <c r="W83" i="255"/>
  <c r="T83" i="255"/>
  <c r="R81" i="255"/>
  <c r="S32" i="261"/>
  <c r="S31" i="261" s="1"/>
  <c r="R83" i="255"/>
  <c r="Z81" i="255"/>
  <c r="J83" i="255"/>
  <c r="P81" i="255"/>
  <c r="Q32" i="261"/>
  <c r="Q31" i="261" s="1"/>
  <c r="N33" i="261"/>
  <c r="N31" i="261" s="1"/>
  <c r="AQ46" i="255"/>
  <c r="AR78" i="255"/>
  <c r="AR46" i="255"/>
  <c r="J33" i="261"/>
  <c r="AQ78" i="255"/>
  <c r="J32" i="261"/>
  <c r="W33" i="261"/>
  <c r="V83" i="255"/>
  <c r="V81" i="255"/>
  <c r="W32" i="261"/>
  <c r="T32" i="261"/>
  <c r="T33" i="261"/>
  <c r="S81" i="255"/>
  <c r="S83" i="255"/>
  <c r="L83" i="255"/>
  <c r="M32" i="261"/>
  <c r="L81" i="255"/>
  <c r="M33" i="261"/>
  <c r="H81" i="255" l="1"/>
  <c r="AQ81" i="255" s="1"/>
  <c r="H83" i="255"/>
  <c r="I33" i="261"/>
  <c r="AQ80" i="255"/>
  <c r="AR83" i="255" s="1"/>
  <c r="I32" i="261"/>
  <c r="D32" i="261" s="1"/>
  <c r="Y31" i="261"/>
  <c r="L31" i="261"/>
  <c r="AA31" i="261"/>
  <c r="R31" i="261"/>
  <c r="U31" i="261"/>
  <c r="J31" i="261"/>
  <c r="T31" i="261"/>
  <c r="W31" i="261"/>
  <c r="M31" i="261"/>
  <c r="I12" i="261"/>
  <c r="M12" i="261"/>
  <c r="Q12" i="261"/>
  <c r="U12" i="261"/>
  <c r="Y12" i="261"/>
  <c r="J12" i="261"/>
  <c r="O12" i="261"/>
  <c r="T12" i="261"/>
  <c r="Z12" i="261"/>
  <c r="H12" i="261"/>
  <c r="G12" i="261"/>
  <c r="K12" i="261"/>
  <c r="P12" i="261"/>
  <c r="V12" i="261"/>
  <c r="AA12" i="261"/>
  <c r="L12" i="261"/>
  <c r="R12" i="261"/>
  <c r="W12" i="261"/>
  <c r="AB12" i="261"/>
  <c r="N12" i="261"/>
  <c r="S12" i="261"/>
  <c r="X12" i="261"/>
  <c r="Q30" i="261"/>
  <c r="Q25" i="261" s="1"/>
  <c r="P30" i="261"/>
  <c r="P25" i="261" s="1"/>
  <c r="R30" i="261"/>
  <c r="R25" i="261" s="1"/>
  <c r="N30" i="261"/>
  <c r="N25" i="261" s="1"/>
  <c r="O30" i="261"/>
  <c r="O25" i="261" s="1"/>
  <c r="K30" i="261"/>
  <c r="K25" i="261" s="1"/>
  <c r="G30" i="261"/>
  <c r="G25" i="261" s="1"/>
  <c r="U30" i="261"/>
  <c r="U25" i="261" s="1"/>
  <c r="V30" i="261"/>
  <c r="V25" i="261" s="1"/>
  <c r="W30" i="261"/>
  <c r="W25" i="261" s="1"/>
  <c r="S30" i="261"/>
  <c r="S25" i="261" s="1"/>
  <c r="T30" i="261"/>
  <c r="T25" i="261" s="1"/>
  <c r="M30" i="261"/>
  <c r="M25" i="261" s="1"/>
  <c r="H30" i="261"/>
  <c r="H25" i="261" s="1"/>
  <c r="I30" i="261"/>
  <c r="I25" i="261" s="1"/>
  <c r="Y30" i="261"/>
  <c r="Y25" i="261" s="1"/>
  <c r="AA30" i="261"/>
  <c r="AA25" i="261" s="1"/>
  <c r="AB30" i="261"/>
  <c r="AB25" i="261" s="1"/>
  <c r="X30" i="261"/>
  <c r="X25" i="261" s="1"/>
  <c r="Z30" i="261"/>
  <c r="Z25" i="261" s="1"/>
  <c r="L30" i="261"/>
  <c r="L25" i="261" s="1"/>
  <c r="J30" i="261"/>
  <c r="J25" i="261" s="1"/>
  <c r="F12" i="261"/>
  <c r="F30" i="261"/>
  <c r="AR81" i="255" l="1"/>
  <c r="AS76" i="255"/>
  <c r="I31" i="261"/>
  <c r="D31" i="261" s="1"/>
  <c r="AS78" i="255"/>
  <c r="D33" i="261"/>
  <c r="D30" i="261"/>
  <c r="A30" i="261" s="1"/>
  <c r="AE10" i="261" s="1"/>
  <c r="F25" i="261"/>
  <c r="D25" i="261" s="1"/>
  <c r="D12" i="261"/>
  <c r="A12" i="261" s="1"/>
  <c r="AC12" i="260" l="1"/>
  <c r="E13" i="260" s="1"/>
  <c r="J13" i="260" l="1"/>
  <c r="J56" i="260" s="1"/>
  <c r="L13" i="260"/>
  <c r="L6" i="260" s="1"/>
  <c r="S13" i="260"/>
  <c r="S6" i="260" s="1"/>
  <c r="H13" i="260"/>
  <c r="H56" i="260" s="1"/>
  <c r="N13" i="260"/>
  <c r="N6" i="260" s="1"/>
  <c r="G13" i="260"/>
  <c r="G56" i="260" s="1"/>
  <c r="V13" i="260"/>
  <c r="V56" i="260" s="1"/>
  <c r="X13" i="260"/>
  <c r="X56" i="260" s="1"/>
  <c r="Q13" i="260"/>
  <c r="Q56" i="260" s="1"/>
  <c r="P13" i="260"/>
  <c r="P56" i="260" s="1"/>
  <c r="I13" i="260"/>
  <c r="I56" i="260" s="1"/>
  <c r="U13" i="260"/>
  <c r="U6" i="260" s="1"/>
  <c r="F13" i="260"/>
  <c r="F56" i="260" s="1"/>
  <c r="M13" i="260"/>
  <c r="M56" i="260" s="1"/>
  <c r="K13" i="260"/>
  <c r="K6" i="260" s="1"/>
  <c r="R13" i="260"/>
  <c r="T13" i="260"/>
  <c r="T6" i="260" s="1"/>
  <c r="O13" i="260"/>
  <c r="O6" i="260" s="1"/>
  <c r="W13" i="260"/>
  <c r="W56" i="260" s="1"/>
  <c r="Y13" i="260"/>
  <c r="E56" i="260"/>
  <c r="E6" i="260"/>
  <c r="AB16" i="261" l="1"/>
  <c r="N56" i="260"/>
  <c r="H6" i="260"/>
  <c r="K56" i="260"/>
  <c r="U56" i="260"/>
  <c r="M6" i="260"/>
  <c r="J6" i="260"/>
  <c r="X6" i="260"/>
  <c r="S56" i="260"/>
  <c r="F6" i="260"/>
  <c r="L56" i="260"/>
  <c r="G6" i="260"/>
  <c r="P6" i="260"/>
  <c r="C13" i="260"/>
  <c r="Q6" i="260"/>
  <c r="V6" i="260"/>
  <c r="I6" i="260"/>
  <c r="W6" i="260"/>
  <c r="T56" i="260"/>
  <c r="O56" i="260"/>
  <c r="I16" i="261" l="1"/>
  <c r="K16" i="261"/>
  <c r="L16" i="261"/>
  <c r="S16" i="261"/>
  <c r="O16" i="261"/>
  <c r="N16" i="261"/>
  <c r="M16" i="261"/>
  <c r="V16" i="261"/>
  <c r="U16" i="261"/>
  <c r="P16" i="261"/>
  <c r="Y16" i="261"/>
  <c r="J16" i="261"/>
  <c r="H16" i="261"/>
  <c r="G16" i="261"/>
  <c r="R16" i="261"/>
  <c r="T16" i="261"/>
  <c r="F16" i="261"/>
  <c r="X16" i="261"/>
  <c r="Z16" i="261"/>
  <c r="W16" i="261"/>
  <c r="AA16" i="261"/>
  <c r="Q16" i="261"/>
  <c r="M14" i="261"/>
  <c r="C15" i="260"/>
  <c r="Y15" i="260" s="1"/>
  <c r="Y56" i="260" s="1"/>
  <c r="AC48" i="260"/>
  <c r="P49" i="260" s="1"/>
  <c r="M8" i="261" l="1"/>
  <c r="M6" i="261" s="1"/>
  <c r="D16" i="261"/>
  <c r="A16" i="261" s="1"/>
  <c r="Y6" i="260"/>
  <c r="E49" i="260"/>
  <c r="H49" i="260"/>
  <c r="V49" i="260"/>
  <c r="Y49" i="260"/>
  <c r="W49" i="260"/>
  <c r="R49" i="260"/>
  <c r="X49" i="260"/>
  <c r="J49" i="260"/>
  <c r="Q49" i="260"/>
  <c r="T49" i="260"/>
  <c r="K49" i="260"/>
  <c r="U49" i="260"/>
  <c r="G49" i="260"/>
  <c r="M49" i="260"/>
  <c r="S49" i="260"/>
  <c r="I49" i="260"/>
  <c r="N49" i="260"/>
  <c r="O49" i="260"/>
  <c r="L49" i="260"/>
  <c r="F49" i="260"/>
  <c r="R15" i="260"/>
  <c r="S14" i="261"/>
  <c r="S8" i="261" s="1"/>
  <c r="S6" i="261" s="1"/>
  <c r="X14" i="261"/>
  <c r="X8" i="261" s="1"/>
  <c r="X6" i="261" s="1"/>
  <c r="G14" i="261"/>
  <c r="G8" i="261" s="1"/>
  <c r="Q14" i="261"/>
  <c r="Q8" i="261" s="1"/>
  <c r="Q6" i="261" s="1"/>
  <c r="AB14" i="261"/>
  <c r="AB8" i="261" s="1"/>
  <c r="AB6" i="261" s="1"/>
  <c r="R14" i="261"/>
  <c r="R8" i="261" s="1"/>
  <c r="R6" i="261" s="1"/>
  <c r="O14" i="261"/>
  <c r="O8" i="261" s="1"/>
  <c r="O6" i="261" s="1"/>
  <c r="U14" i="261"/>
  <c r="U8" i="261" s="1"/>
  <c r="U6" i="261" s="1"/>
  <c r="Y14" i="261"/>
  <c r="Y8" i="261" s="1"/>
  <c r="Y6" i="261" s="1"/>
  <c r="N14" i="261"/>
  <c r="N8" i="261" s="1"/>
  <c r="N6" i="261" s="1"/>
  <c r="J14" i="261"/>
  <c r="J8" i="261" s="1"/>
  <c r="J6" i="261" s="1"/>
  <c r="K14" i="261"/>
  <c r="K8" i="261" s="1"/>
  <c r="K6" i="261" s="1"/>
  <c r="AA14" i="261"/>
  <c r="AA8" i="261" s="1"/>
  <c r="AA6" i="261" s="1"/>
  <c r="T14" i="261"/>
  <c r="T8" i="261" s="1"/>
  <c r="T6" i="261" s="1"/>
  <c r="L14" i="261"/>
  <c r="L8" i="261" s="1"/>
  <c r="L6" i="261" s="1"/>
  <c r="P14" i="261"/>
  <c r="P8" i="261" s="1"/>
  <c r="P6" i="261" s="1"/>
  <c r="I14" i="261"/>
  <c r="I8" i="261" s="1"/>
  <c r="I6" i="261" s="1"/>
  <c r="Z14" i="261"/>
  <c r="Z8" i="261" s="1"/>
  <c r="Z6" i="261" s="1"/>
  <c r="W14" i="261"/>
  <c r="W8" i="261" s="1"/>
  <c r="W6" i="261" s="1"/>
  <c r="V14" i="261"/>
  <c r="V8" i="261" s="1"/>
  <c r="V6" i="261" s="1"/>
  <c r="H14" i="261"/>
  <c r="H8" i="261" s="1"/>
  <c r="H6" i="261" s="1"/>
  <c r="F14" i="261"/>
  <c r="F8" i="261" s="1"/>
  <c r="C49" i="260" l="1"/>
  <c r="R56" i="260"/>
  <c r="R6" i="260"/>
  <c r="C6" i="260" s="1"/>
  <c r="D14" i="261"/>
  <c r="A14" i="261" s="1"/>
  <c r="AE8" i="261" s="1"/>
  <c r="D8" i="261"/>
  <c r="D6" i="261" s="1"/>
  <c r="AB41" i="261" l="1"/>
  <c r="AB39" i="261" s="1"/>
  <c r="L41" i="261" l="1"/>
  <c r="L39" i="261" s="1"/>
  <c r="K41" i="261"/>
  <c r="K39" i="261" s="1"/>
  <c r="Q41" i="261"/>
  <c r="Q39" i="261" s="1"/>
  <c r="Y41" i="261"/>
  <c r="Y39" i="261" s="1"/>
  <c r="V41" i="261"/>
  <c r="V39" i="261" s="1"/>
  <c r="Z41" i="261"/>
  <c r="Z39" i="261" s="1"/>
  <c r="P41" i="261"/>
  <c r="P39" i="261" s="1"/>
  <c r="N41" i="261"/>
  <c r="N39" i="261" s="1"/>
  <c r="T41" i="261"/>
  <c r="T39" i="261" s="1"/>
  <c r="U41" i="261"/>
  <c r="U39" i="261" s="1"/>
  <c r="R41" i="261"/>
  <c r="R39" i="261" s="1"/>
  <c r="M41" i="261"/>
  <c r="M39" i="261" s="1"/>
  <c r="X41" i="261"/>
  <c r="X39" i="261" s="1"/>
  <c r="AA41" i="261"/>
  <c r="AA39" i="261" s="1"/>
  <c r="J41" i="261"/>
  <c r="J39" i="261" s="1"/>
  <c r="I41" i="261"/>
  <c r="I39" i="261" s="1"/>
  <c r="W41" i="261"/>
  <c r="W39" i="261" s="1"/>
  <c r="O41" i="261"/>
  <c r="O39" i="261" s="1"/>
  <c r="S41" i="261"/>
  <c r="S39" i="261" s="1"/>
  <c r="D41" i="261" l="1"/>
  <c r="D39" i="261" s="1"/>
  <c r="AC42" i="260" l="1"/>
  <c r="M43" i="260" s="1"/>
  <c r="J43" i="260" l="1"/>
  <c r="T43" i="260"/>
  <c r="W43" i="260"/>
  <c r="V43" i="260"/>
  <c r="G43" i="260"/>
  <c r="AC38" i="260"/>
  <c r="G39" i="260" s="1"/>
  <c r="U43" i="260"/>
  <c r="K43" i="260"/>
  <c r="F43" i="260"/>
  <c r="H43" i="260"/>
  <c r="Y43" i="260"/>
  <c r="P43" i="260"/>
  <c r="I43" i="260"/>
  <c r="R43" i="260"/>
  <c r="X43" i="260"/>
  <c r="Q43" i="260"/>
  <c r="L43" i="260"/>
  <c r="O43" i="260"/>
  <c r="E43" i="260"/>
  <c r="S43" i="260"/>
  <c r="N43" i="260"/>
  <c r="G34" i="260" l="1"/>
  <c r="G51" i="260" s="1"/>
  <c r="G53" i="260" s="1"/>
  <c r="G57" i="260" s="1"/>
  <c r="U39" i="260"/>
  <c r="U34" i="260" s="1"/>
  <c r="U51" i="260" s="1"/>
  <c r="U53" i="260" s="1"/>
  <c r="U57" i="260" s="1"/>
  <c r="X39" i="260"/>
  <c r="X34" i="260" s="1"/>
  <c r="X51" i="260" s="1"/>
  <c r="X53" i="260" s="1"/>
  <c r="X57" i="260" s="1"/>
  <c r="N39" i="260"/>
  <c r="N34" i="260" s="1"/>
  <c r="N51" i="260" s="1"/>
  <c r="N53" i="260" s="1"/>
  <c r="N57" i="260" s="1"/>
  <c r="S39" i="260"/>
  <c r="S34" i="260" s="1"/>
  <c r="S51" i="260" s="1"/>
  <c r="S53" i="260" s="1"/>
  <c r="S57" i="260" s="1"/>
  <c r="C43" i="260"/>
  <c r="O39" i="260"/>
  <c r="O34" i="260" s="1"/>
  <c r="O51" i="260" s="1"/>
  <c r="O53" i="260" s="1"/>
  <c r="O57" i="260" s="1"/>
  <c r="H39" i="260"/>
  <c r="H34" i="260" s="1"/>
  <c r="H51" i="260" s="1"/>
  <c r="H53" i="260" s="1"/>
  <c r="H57" i="260" s="1"/>
  <c r="P39" i="260"/>
  <c r="P34" i="260" s="1"/>
  <c r="P51" i="260" s="1"/>
  <c r="P53" i="260" s="1"/>
  <c r="P57" i="260" s="1"/>
  <c r="W39" i="260"/>
  <c r="W34" i="260" s="1"/>
  <c r="W51" i="260" s="1"/>
  <c r="W53" i="260" s="1"/>
  <c r="W57" i="260" s="1"/>
  <c r="E39" i="260"/>
  <c r="E34" i="260" s="1"/>
  <c r="J39" i="260"/>
  <c r="J34" i="260" s="1"/>
  <c r="J51" i="260" s="1"/>
  <c r="J53" i="260" s="1"/>
  <c r="J57" i="260" s="1"/>
  <c r="Y39" i="260"/>
  <c r="Y34" i="260" s="1"/>
  <c r="Y51" i="260" s="1"/>
  <c r="Y53" i="260" s="1"/>
  <c r="Y57" i="260" s="1"/>
  <c r="L39" i="260"/>
  <c r="L34" i="260" s="1"/>
  <c r="L51" i="260" s="1"/>
  <c r="L53" i="260" s="1"/>
  <c r="L57" i="260" s="1"/>
  <c r="F39" i="260"/>
  <c r="F34" i="260" s="1"/>
  <c r="F51" i="260" s="1"/>
  <c r="F53" i="260" s="1"/>
  <c r="F57" i="260" s="1"/>
  <c r="I39" i="260"/>
  <c r="I34" i="260" s="1"/>
  <c r="I51" i="260" s="1"/>
  <c r="I53" i="260" s="1"/>
  <c r="I57" i="260" s="1"/>
  <c r="M39" i="260"/>
  <c r="M34" i="260" s="1"/>
  <c r="M51" i="260" s="1"/>
  <c r="M53" i="260" s="1"/>
  <c r="M57" i="260" s="1"/>
  <c r="R39" i="260"/>
  <c r="R34" i="260" s="1"/>
  <c r="R51" i="260" s="1"/>
  <c r="R53" i="260" s="1"/>
  <c r="R57" i="260" s="1"/>
  <c r="Q39" i="260"/>
  <c r="Q34" i="260" s="1"/>
  <c r="Q51" i="260" s="1"/>
  <c r="Q53" i="260" s="1"/>
  <c r="Q57" i="260" s="1"/>
  <c r="K39" i="260"/>
  <c r="K34" i="260" s="1"/>
  <c r="K51" i="260" s="1"/>
  <c r="K53" i="260" s="1"/>
  <c r="K57" i="260" s="1"/>
  <c r="V39" i="260"/>
  <c r="V34" i="260" s="1"/>
  <c r="V51" i="260" s="1"/>
  <c r="V53" i="260" s="1"/>
  <c r="V57" i="260" s="1"/>
  <c r="T39" i="260"/>
  <c r="T34" i="260" s="1"/>
  <c r="T51" i="260" s="1"/>
  <c r="T53" i="260" s="1"/>
  <c r="T57" i="260" s="1"/>
  <c r="C39" i="260" l="1"/>
  <c r="C34" i="260"/>
  <c r="E51" i="260"/>
  <c r="W46" i="261" l="1"/>
  <c r="W45" i="261" s="1"/>
  <c r="W37" i="261" s="1"/>
  <c r="R46" i="261"/>
  <c r="R45" i="261" s="1"/>
  <c r="R37" i="261" s="1"/>
  <c r="Q46" i="261"/>
  <c r="Q45" i="261" s="1"/>
  <c r="Q37" i="261" s="1"/>
  <c r="P46" i="261"/>
  <c r="P45" i="261" s="1"/>
  <c r="P37" i="261" s="1"/>
  <c r="AA46" i="261"/>
  <c r="AA45" i="261" s="1"/>
  <c r="AA37" i="261" s="1"/>
  <c r="X46" i="261"/>
  <c r="X45" i="261" s="1"/>
  <c r="X37" i="261" s="1"/>
  <c r="O46" i="261"/>
  <c r="O45" i="261" s="1"/>
  <c r="O37" i="261" s="1"/>
  <c r="F46" i="261"/>
  <c r="J46" i="261"/>
  <c r="J45" i="261" s="1"/>
  <c r="J37" i="261" s="1"/>
  <c r="N46" i="261"/>
  <c r="N45" i="261" s="1"/>
  <c r="N37" i="261" s="1"/>
  <c r="U46" i="261"/>
  <c r="U45" i="261" s="1"/>
  <c r="U37" i="261" s="1"/>
  <c r="K46" i="261"/>
  <c r="K45" i="261" s="1"/>
  <c r="K37" i="261" s="1"/>
  <c r="C51" i="260"/>
  <c r="Z46" i="261"/>
  <c r="Z45" i="261" s="1"/>
  <c r="Z37" i="261" s="1"/>
  <c r="G46" i="261"/>
  <c r="G45" i="261" s="1"/>
  <c r="G37" i="261" s="1"/>
  <c r="I46" i="261"/>
  <c r="I45" i="261" s="1"/>
  <c r="I37" i="261" s="1"/>
  <c r="M46" i="261"/>
  <c r="M45" i="261" s="1"/>
  <c r="M37" i="261" s="1"/>
  <c r="S46" i="261"/>
  <c r="S45" i="261" s="1"/>
  <c r="S37" i="261" s="1"/>
  <c r="L46" i="261"/>
  <c r="L45" i="261" s="1"/>
  <c r="L37" i="261" s="1"/>
  <c r="Y46" i="261"/>
  <c r="Y45" i="261" s="1"/>
  <c r="Y37" i="261" s="1"/>
  <c r="H46" i="261"/>
  <c r="H45" i="261" s="1"/>
  <c r="H37" i="261" s="1"/>
  <c r="T46" i="261"/>
  <c r="T45" i="261" s="1"/>
  <c r="T37" i="261" s="1"/>
  <c r="V46" i="261"/>
  <c r="V45" i="261" s="1"/>
  <c r="V37" i="261" s="1"/>
  <c r="E53" i="260"/>
  <c r="AB46" i="261"/>
  <c r="AB45" i="261" s="1"/>
  <c r="AB37" i="261" s="1"/>
  <c r="F45" i="261" l="1"/>
  <c r="F37" i="261" s="1"/>
  <c r="D46" i="261"/>
  <c r="D45" i="261" s="1"/>
  <c r="D37" i="261" s="1"/>
  <c r="C53" i="260"/>
  <c r="E57" i="260"/>
</calcChain>
</file>

<file path=xl/sharedStrings.xml><?xml version="1.0" encoding="utf-8"?>
<sst xmlns="http://schemas.openxmlformats.org/spreadsheetml/2006/main" count="709" uniqueCount="349">
  <si>
    <t>TOTAL</t>
  </si>
  <si>
    <t>=</t>
  </si>
  <si>
    <t>Total</t>
  </si>
  <si>
    <t>-</t>
  </si>
  <si>
    <t>ANO</t>
  </si>
  <si>
    <t>Toneladas</t>
  </si>
  <si>
    <t>Equipe</t>
  </si>
  <si>
    <t>ton/ano</t>
  </si>
  <si>
    <t>RCC</t>
  </si>
  <si>
    <t>Referência</t>
  </si>
  <si>
    <t>%</t>
  </si>
  <si>
    <t>Plásticos</t>
  </si>
  <si>
    <t>Outros</t>
  </si>
  <si>
    <t>DUQUE DE CAXIAS</t>
  </si>
  <si>
    <t>Média</t>
  </si>
  <si>
    <t>Quantitativos de RSD (ton/ano)</t>
  </si>
  <si>
    <t>Quantitativos de RSD (ton/dia)</t>
  </si>
  <si>
    <t>A) CPRSU - RSD</t>
  </si>
  <si>
    <t>Pesagem (ton/ano)</t>
  </si>
  <si>
    <t>Número de Turnos</t>
  </si>
  <si>
    <t>Horas Trabalhadas por Turno</t>
  </si>
  <si>
    <t>A.1.) Triagem Mecânica de RSU</t>
  </si>
  <si>
    <t>A.1.1) Triagem (Dimencionamento)</t>
  </si>
  <si>
    <t>Número de Linhas</t>
  </si>
  <si>
    <t>Capacidade por Linha</t>
  </si>
  <si>
    <t>ton/hora</t>
  </si>
  <si>
    <t>Disponibilidade Total</t>
  </si>
  <si>
    <t>h/h</t>
  </si>
  <si>
    <t>Meses Trabalhados (mês)</t>
  </si>
  <si>
    <t>Capacidade Total (ton/dia)</t>
  </si>
  <si>
    <t>Capacidade Total (ano/dia)</t>
  </si>
  <si>
    <t>A.1.2.) Triagem (Operação)</t>
  </si>
  <si>
    <t>Resíduos Triados (ton/dia)</t>
  </si>
  <si>
    <t>Resíduos Triados (ton/ano)</t>
  </si>
  <si>
    <t>Resíduos Não Triados (ton/dia)</t>
  </si>
  <si>
    <t>Resíduos Não Triados (ton/ano)</t>
  </si>
  <si>
    <t>A.1.2.1.) Reciclaveis</t>
  </si>
  <si>
    <t>% ton/ano</t>
  </si>
  <si>
    <t>Papel / Papelão</t>
  </si>
  <si>
    <t>Vidros</t>
  </si>
  <si>
    <t>Metais</t>
  </si>
  <si>
    <t>A.1.2.2.) CDR (Combustivel Derivado de Resíduos)</t>
  </si>
  <si>
    <t>A.1.2.3.) Rejeitos (Organicos e Não Reaproveitais)</t>
  </si>
  <si>
    <t>A.1.2.4.) Perdas (Umidade e Perdas de Processo)</t>
  </si>
  <si>
    <t>A.1.3.) Beneficiamento de Plasticos</t>
  </si>
  <si>
    <t>PET Compra Terceiros (ton/dia)</t>
  </si>
  <si>
    <t>S</t>
  </si>
  <si>
    <t>PET Compra Terceiros (ton/ano)</t>
  </si>
  <si>
    <t>PET Compra Osasco (ton/dia)</t>
  </si>
  <si>
    <t>PET Compra Osasco (ton/ano)</t>
  </si>
  <si>
    <t>PET Triado (ton/dia)</t>
  </si>
  <si>
    <t>PET</t>
  </si>
  <si>
    <t>PET Triado (ton/ano)</t>
  </si>
  <si>
    <t>PE e PP Compra Osasco (ton/dia)</t>
  </si>
  <si>
    <t>PP</t>
  </si>
  <si>
    <t>PE e PP Compra Osasco (ton/ano)</t>
  </si>
  <si>
    <t>Filme PE Compra Osasco (ton/dia)</t>
  </si>
  <si>
    <t>FPE</t>
  </si>
  <si>
    <t>Filme PE Compra Osasco (ton/ano)</t>
  </si>
  <si>
    <t xml:space="preserve">  *   garrafas, frascos PVC</t>
  </si>
  <si>
    <t xml:space="preserve">  *   garrafas, frascos PET - Flake</t>
  </si>
  <si>
    <t xml:space="preserve">  *   garrafas, frascos PE e PP</t>
  </si>
  <si>
    <t xml:space="preserve">  *   poliestireno</t>
  </si>
  <si>
    <t xml:space="preserve">  *   filmes PE</t>
  </si>
  <si>
    <t xml:space="preserve">  *   outros</t>
  </si>
  <si>
    <t>A.2.) Aterramento Sanitário</t>
  </si>
  <si>
    <t>AT</t>
  </si>
  <si>
    <t>A.2.1.) Resíduos Não Triados</t>
  </si>
  <si>
    <t>A.2.2.) Rejeitos (Orgânicos e Não Reaproveitaveis)</t>
  </si>
  <si>
    <t>ton/dia</t>
  </si>
  <si>
    <t>Percentual Máximo de Aterramento</t>
  </si>
  <si>
    <t>CPRSU - RSD</t>
  </si>
  <si>
    <t>R$/ton</t>
  </si>
  <si>
    <t>Pedra</t>
  </si>
  <si>
    <t>Areia</t>
  </si>
  <si>
    <t>Mão de Obra</t>
  </si>
  <si>
    <t>Manutenção</t>
  </si>
  <si>
    <t>Insumos</t>
  </si>
  <si>
    <t>Operação de Trituração (Produção de CDR)</t>
  </si>
  <si>
    <t>Transporte e Destinação de Efluentes</t>
  </si>
  <si>
    <t>Outros Custos Diretos</t>
  </si>
  <si>
    <t xml:space="preserve">Pesagem (ton/dia) </t>
  </si>
  <si>
    <t>Energia Elétrica</t>
  </si>
  <si>
    <t>Quantitativos de RVV (ton/ano)</t>
  </si>
  <si>
    <t>Quantitativos de RVV (ton/dia)</t>
  </si>
  <si>
    <t>A.1.2.) Unidade (Operação)</t>
  </si>
  <si>
    <t>Resíduos recebidos (ton/dia)</t>
  </si>
  <si>
    <t>Resíduos Recebidos (ton/ano)</t>
  </si>
  <si>
    <t>BALANÇO MASSA - RCC</t>
  </si>
  <si>
    <t>BALANÇO MASSA -  RVV</t>
  </si>
  <si>
    <t>BALANÇO MASSA - RSD</t>
  </si>
  <si>
    <t>Quantitativos de RCC (ton/ano)</t>
  </si>
  <si>
    <t>Quantitativos de RCC (ton/dia)</t>
  </si>
  <si>
    <t>A) CPRSU - RCC</t>
  </si>
  <si>
    <t>A) CPRSU - RVV</t>
  </si>
  <si>
    <t xml:space="preserve">A.1.2.1.) Tratamento </t>
  </si>
  <si>
    <t>Período (2030 até o final da Concessão)</t>
  </si>
  <si>
    <t>Período (2024-2029)</t>
  </si>
  <si>
    <t>Período (2024 até o final da Concessão)</t>
  </si>
  <si>
    <t>A.2.2.) Rejeitos (Orgânicos e Não Reaproveitáveis)</t>
  </si>
  <si>
    <t>A.1.) Beneficiamento RCC</t>
  </si>
  <si>
    <t>A.3.5) Total dos Rejeitos Encaminhados para Aterro Sanitário</t>
  </si>
  <si>
    <t>QUADRO 03</t>
  </si>
  <si>
    <t>DESCRITIVO DE INVESTIMENTOS</t>
  </si>
  <si>
    <t>UNIDADE DE TRATAMENTO MECÂNICO DE RSD</t>
  </si>
  <si>
    <t>Projeto Executivo, Gerenciamento, Coordenação da Obra, Montagem, Comissionamento, Start-up e Operação Assistida.</t>
  </si>
  <si>
    <t>Construção Civil
(Galpão de Triagem e Armazamento de Materiais)</t>
  </si>
  <si>
    <t>UNIDADE DE BENEFICIAMENTO DE RCC E RVV E MANEJO DE REJEITOS</t>
  </si>
  <si>
    <t>Construção Civil
(Estruturas de Base)</t>
  </si>
  <si>
    <t>Reformas da Linha de Trituração e Peneiramento
(1 Modulo de Beneficiamento com Capacidade de 50 ton/hora)</t>
  </si>
  <si>
    <t>Estrutura de Manejo e Destinação de Rejeitos
(Obras Civis)</t>
  </si>
  <si>
    <t>Equipamentos Perifericos
(Bobcats, Pás Carregadeiras e Plataformas de Triagem)</t>
  </si>
  <si>
    <t>OUTROS INVESTIMENTOS</t>
  </si>
  <si>
    <t>Licenciamento Ambiental</t>
  </si>
  <si>
    <t>Estrutura administrativa
(incluindo edificações, equipamentos e outros)</t>
  </si>
  <si>
    <t>Balança e Cabine de Pesagem</t>
  </si>
  <si>
    <t>Cercamento (Incluindo Cerca Vegetal), 
Pavimentação Interna e Externa</t>
  </si>
  <si>
    <t>Implantação de Sistema de Água de Reuso</t>
  </si>
  <si>
    <t>Contigências</t>
  </si>
  <si>
    <t>TOTAL DOS INVESTIMENTOS</t>
  </si>
  <si>
    <t>TOTAL DOS INVESTIMENTOS (Depreciaveis)</t>
  </si>
  <si>
    <t>Seguro do Contrato</t>
  </si>
  <si>
    <t>Linhas de Triagem Mecânica
(1 Módulo de Triagem com Capacidade de 50 ton/hora)</t>
  </si>
  <si>
    <t>Reformas das Linhas de Triagem Mecânica
(1 Módulo de Triagem com Capacidade de 50 ton/hora)</t>
  </si>
  <si>
    <t>Período</t>
  </si>
  <si>
    <r>
      <t xml:space="preserve">Equipamentos Periféricos
(Pá Carregadeira, Minicarregadeira, Empilhadeira, </t>
    </r>
    <r>
      <rPr>
        <sz val="11"/>
        <color rgb="FFFF0000"/>
        <rFont val="Calibri"/>
        <family val="2"/>
        <scheme val="minor"/>
      </rPr>
      <t>Gerador Diesel e Plataforma Tesoura</t>
    </r>
    <r>
      <rPr>
        <sz val="11"/>
        <rFont val="Calibri"/>
        <family val="2"/>
        <scheme val="minor"/>
      </rPr>
      <t>)</t>
    </r>
  </si>
  <si>
    <t>QUADRO 02</t>
  </si>
  <si>
    <t>DESCRITIVO DE CUSTOS</t>
  </si>
  <si>
    <t>CUSTOS DIRETOS</t>
  </si>
  <si>
    <t>RSD</t>
  </si>
  <si>
    <t>RVV</t>
  </si>
  <si>
    <t>Energia Eletrica</t>
  </si>
  <si>
    <t>Equipamentos</t>
  </si>
  <si>
    <t>Terceiros</t>
  </si>
  <si>
    <t>CPRSU - RSD - Terceiros</t>
  </si>
  <si>
    <t>CPRSU - RCC + RVV</t>
  </si>
  <si>
    <t>CPRSU - MANEJO DE REJEITOS E DESTINAÇÃO</t>
  </si>
  <si>
    <t>Operação de Manejo de Rejeitos</t>
  </si>
  <si>
    <t>Transporte e Destinação de Rejeitos - RSD</t>
  </si>
  <si>
    <t>Transporte e Destinação de Rejeitos - RVV</t>
  </si>
  <si>
    <t>Transporte e Destinação de Rejeitos - RCC</t>
  </si>
  <si>
    <t>CUSTOS INDIRETOS E DESPESAS</t>
  </si>
  <si>
    <t>CUSTOS INDIRETOS</t>
  </si>
  <si>
    <t>Adm. Direta da CPRSU - Mão de Obra</t>
  </si>
  <si>
    <t>Remuneração uso da área</t>
  </si>
  <si>
    <t>Resarcimento da PMI</t>
  </si>
  <si>
    <t>Segurança</t>
  </si>
  <si>
    <t>Seguros e Garantias Operacionais</t>
  </si>
  <si>
    <t>Garantia de Execução do Contrato</t>
  </si>
  <si>
    <t>Agência Reguladora</t>
  </si>
  <si>
    <t>IMPOSTOS SOBRE RECEITA</t>
  </si>
  <si>
    <t>PIS</t>
  </si>
  <si>
    <t>COFINS</t>
  </si>
  <si>
    <t>ISS</t>
  </si>
  <si>
    <t>ICMS</t>
  </si>
  <si>
    <t>IRRF</t>
  </si>
  <si>
    <t>TOTAL DE CUSTOS</t>
  </si>
  <si>
    <t>R$/t</t>
  </si>
  <si>
    <t>Adm. Direta da CPRSU - Água/Esgoto, Energia, Telef., etc.</t>
  </si>
  <si>
    <t>Implantação de Programas Sócio-Ambientais</t>
  </si>
  <si>
    <t>ETR (hoje) - R$/mês</t>
  </si>
  <si>
    <t>UTM (estim) - R$/mês</t>
  </si>
  <si>
    <t>Destin. Final</t>
  </si>
  <si>
    <t>redução de 5.763 t de resíduo triado que não segue para o aterro</t>
  </si>
  <si>
    <t>Transporte</t>
  </si>
  <si>
    <t>Loc. Equipam</t>
  </si>
  <si>
    <t>acréscimo de equipamento para operação da UTM</t>
  </si>
  <si>
    <t>Pessoal</t>
  </si>
  <si>
    <t>acréscimo de equipe da UTM</t>
  </si>
  <si>
    <t>Aluguel imóvel</t>
  </si>
  <si>
    <t>acréscimo de consumos:água e esgoto , EPIs, uniformes, TI , etc</t>
  </si>
  <si>
    <t>Luz e Força</t>
  </si>
  <si>
    <t>acréscimo em função de diversos outros equipamentos que consomem energia</t>
  </si>
  <si>
    <t>Obs: Retirei o valor de Aluguel de Imóvel que hoje pagamos R$ 60.000,00 no endereço atual</t>
  </si>
  <si>
    <t>Cálculo da redução do resíduo à ser enviado para o aterro :</t>
  </si>
  <si>
    <t>TOT</t>
  </si>
  <si>
    <t xml:space="preserve">t </t>
  </si>
  <si>
    <t>RSU (45%)</t>
  </si>
  <si>
    <t>t</t>
  </si>
  <si>
    <t>Ent (55%)</t>
  </si>
  <si>
    <t>RSU triado (8%)</t>
  </si>
  <si>
    <t>Ent p/tratar (70 %)</t>
  </si>
  <si>
    <t>Ent triado (20 % dos 70 %)</t>
  </si>
  <si>
    <t>TOT triado</t>
  </si>
  <si>
    <t>Aterro vol mens</t>
  </si>
  <si>
    <t>Custos e justificativas:</t>
  </si>
  <si>
    <t>Custo Aterro</t>
  </si>
  <si>
    <t>Custo Transporte</t>
  </si>
  <si>
    <t>Locação de equipamentos</t>
  </si>
  <si>
    <t>acréscimo de 13.300,00 referente a empilhadeira além das pás já alugadas para ETR</t>
  </si>
  <si>
    <t>acréscimo de mais uns 20 colaboradores em função da novo funcionamento da UTM</t>
  </si>
  <si>
    <t>dobro das despesas simples água, esgoto, uniformes , EPIs, etc</t>
  </si>
  <si>
    <t>dobro do aumento do consumo + acrescimo de entrar em outra faixa de consumo (cerca de 2,3 x  a mais)</t>
  </si>
  <si>
    <t>Custo transbordo</t>
  </si>
  <si>
    <t>Novo valor informado</t>
  </si>
  <si>
    <t>DESPESAS</t>
  </si>
  <si>
    <t>A.1.1) Triagem (Dimensionamento)</t>
  </si>
  <si>
    <r>
      <t>Linha de Trituração e Peneiramento
(1 Modulo de Beneficiamento com Capacidade de</t>
    </r>
    <r>
      <rPr>
        <sz val="11"/>
        <color rgb="FFFF0000"/>
        <rFont val="Calibri"/>
        <family val="2"/>
        <scheme val="minor"/>
      </rPr>
      <t xml:space="preserve"> 80 to</t>
    </r>
    <r>
      <rPr>
        <sz val="11"/>
        <rFont val="Calibri"/>
        <family val="2"/>
        <scheme val="minor"/>
      </rPr>
      <t>n/hora)</t>
    </r>
  </si>
  <si>
    <t>Juros</t>
  </si>
  <si>
    <t>Contingências</t>
  </si>
  <si>
    <t>Horas de funcionamento da linha</t>
  </si>
  <si>
    <t>h/dia</t>
  </si>
  <si>
    <t>Número de Turnos (seg a sexta)</t>
  </si>
  <si>
    <t>Número de Turnos (sábado)</t>
  </si>
  <si>
    <t>Capacidade Total (ton/semana)</t>
  </si>
  <si>
    <t>Dias de funcionamento na semana</t>
  </si>
  <si>
    <t>Horas Trabalhadas por Turno na semana</t>
  </si>
  <si>
    <t xml:space="preserve"> </t>
  </si>
  <si>
    <t>Operação da Unidade de Benecificiamento de RCC</t>
  </si>
  <si>
    <t>CAPEX</t>
  </si>
  <si>
    <t>Implantação da Unidade de Beneficiamento de RCC</t>
  </si>
  <si>
    <t>Implantação da administração central</t>
  </si>
  <si>
    <t>Operação da Administração Central</t>
  </si>
  <si>
    <t>Transporte dos rejeitos</t>
  </si>
  <si>
    <t>Disposição final do RSU</t>
  </si>
  <si>
    <t>Disposição final dos resíduos inertes</t>
  </si>
  <si>
    <t>Implantação da Unidade de Triagem de RSU</t>
  </si>
  <si>
    <t>Elaboração de projeto de reuso de água</t>
  </si>
  <si>
    <t xml:space="preserve">Ano-Calendário &gt; </t>
  </si>
  <si>
    <t xml:space="preserve">Ano-Concessão &gt; </t>
  </si>
  <si>
    <t>Macroeconômico</t>
  </si>
  <si>
    <t>IPCA-IBGE</t>
  </si>
  <si>
    <t>IPCA-IBGE, acumulado</t>
  </si>
  <si>
    <t>IGP-M</t>
  </si>
  <si>
    <t>IGP-M, acumulado</t>
  </si>
  <si>
    <t>R$/US$ - final de período</t>
  </si>
  <si>
    <t>Dólar, % de variação</t>
  </si>
  <si>
    <t>Dólar, acumulado</t>
  </si>
  <si>
    <t>Demanda</t>
  </si>
  <si>
    <t>Serviços de Gestão de Resíduos Sólidos</t>
  </si>
  <si>
    <t>Custos</t>
  </si>
  <si>
    <t>Tipo de Serviço</t>
  </si>
  <si>
    <t>Classificação</t>
  </si>
  <si>
    <t>Destinação</t>
  </si>
  <si>
    <t>RS, D - OPEX</t>
  </si>
  <si>
    <t>Despesas Administrativas</t>
  </si>
  <si>
    <t>Ressarcimento do PMI</t>
  </si>
  <si>
    <t>Investimentos</t>
  </si>
  <si>
    <t>Depreciação</t>
  </si>
  <si>
    <t>Total dos Investimentos</t>
  </si>
  <si>
    <t>Unidade de tratamento mecânico</t>
  </si>
  <si>
    <t>Início de Amort.</t>
  </si>
  <si>
    <t>RS, D - CAPEX</t>
  </si>
  <si>
    <t>5 anos</t>
  </si>
  <si>
    <t>2 anos</t>
  </si>
  <si>
    <t>Re-Investimentos</t>
  </si>
  <si>
    <t>Amortização / Depreciação</t>
  </si>
  <si>
    <t>Amortização</t>
  </si>
  <si>
    <t>RS, D - AMOR</t>
  </si>
  <si>
    <t>P</t>
  </si>
  <si>
    <t>I</t>
  </si>
  <si>
    <t>F</t>
  </si>
  <si>
    <t>D</t>
  </si>
  <si>
    <t>Valor</t>
  </si>
  <si>
    <t>4 anos</t>
  </si>
  <si>
    <t>7 anos</t>
  </si>
  <si>
    <t>AGRUPAMENTO</t>
  </si>
  <si>
    <t>AGRUPAMENTO POR BLOCO DE CUSTO</t>
  </si>
  <si>
    <t>CUSTOS OPERACIONAIS</t>
  </si>
  <si>
    <t>AMORTIZAÇÃO</t>
  </si>
  <si>
    <t>REMUNERAÇÃO</t>
  </si>
  <si>
    <t>RECEITA REQUERIDA</t>
  </si>
  <si>
    <t>Serviços de Gestão de Resíduos Sólidos _ Destinação</t>
  </si>
  <si>
    <t>Regulação</t>
  </si>
  <si>
    <t>Reajuste de Preços. Fórmula Paramétrica</t>
  </si>
  <si>
    <t>Salário</t>
  </si>
  <si>
    <t>CCT</t>
  </si>
  <si>
    <t>Óleo Diesel</t>
  </si>
  <si>
    <t>Óleo diesel</t>
  </si>
  <si>
    <t>ANP</t>
  </si>
  <si>
    <t>Outros insumos</t>
  </si>
  <si>
    <t>Remuneração</t>
  </si>
  <si>
    <t>Demonstrativo Financeiro</t>
  </si>
  <si>
    <t>Demonstrativo de Resultado</t>
  </si>
  <si>
    <t>Receita Bruta</t>
  </si>
  <si>
    <t>Contraprestação Operacional</t>
  </si>
  <si>
    <t>Receita Acessória</t>
  </si>
  <si>
    <t>Acessório</t>
  </si>
  <si>
    <t>Impostos sobre Receita</t>
  </si>
  <si>
    <t>Compartilhamento de receita</t>
  </si>
  <si>
    <t>Acessória</t>
  </si>
  <si>
    <t>Receita Líquida</t>
  </si>
  <si>
    <t>Custos e Despesas</t>
  </si>
  <si>
    <t>Custos Operacionais</t>
  </si>
  <si>
    <t>Despesas Operacionais/Administrativas</t>
  </si>
  <si>
    <t>Despesas Contratuais</t>
  </si>
  <si>
    <t>EBITDA</t>
  </si>
  <si>
    <t>Margem EBITDA</t>
  </si>
  <si>
    <t>Depreciação / Amortização</t>
  </si>
  <si>
    <t>EBIT</t>
  </si>
  <si>
    <t>Margem EBIT</t>
  </si>
  <si>
    <t>+/-</t>
  </si>
  <si>
    <t>Resultado Financeiro</t>
  </si>
  <si>
    <t>EBT</t>
  </si>
  <si>
    <t>Margem EBT</t>
  </si>
  <si>
    <t>IR / CSLL</t>
  </si>
  <si>
    <t>IR</t>
  </si>
  <si>
    <t>CSLL</t>
  </si>
  <si>
    <t>Lucro Líquido</t>
  </si>
  <si>
    <t>Margem Líquida</t>
  </si>
  <si>
    <t>Demonstrativo de Fluxo de Caixa</t>
  </si>
  <si>
    <t>Fluxo de Caixa, após atividades operacionais</t>
  </si>
  <si>
    <t>Fluxo de Caixa, após atividades de investimento</t>
  </si>
  <si>
    <t>Fluxo de Caixa, após atividades de investimento - Acumulado</t>
  </si>
  <si>
    <t>TIR</t>
  </si>
  <si>
    <t>a.a.</t>
  </si>
  <si>
    <t>VPL (SELIC Real)</t>
  </si>
  <si>
    <t>RS</t>
  </si>
  <si>
    <t>Payback</t>
  </si>
  <si>
    <t>anos</t>
  </si>
  <si>
    <t>Exposição de Caixa</t>
  </si>
  <si>
    <t>Financiamento</t>
  </si>
  <si>
    <t>Liberação</t>
  </si>
  <si>
    <t>Custo Financeiro</t>
  </si>
  <si>
    <t>Fluxo de Caixa, após atividades de financiamento</t>
  </si>
  <si>
    <t>Fluxo de Caixa, após atividades de financiamento - Acumulado</t>
  </si>
  <si>
    <r>
      <t xml:space="preserve">VALOR DA </t>
    </r>
    <r>
      <rPr>
        <b/>
        <sz val="10"/>
        <color theme="1"/>
        <rFont val="Arial"/>
        <family val="2"/>
      </rPr>
      <t>CONTRAPRESTAÇÃO MENSAL MÁXIMA (EM R$)</t>
    </r>
  </si>
  <si>
    <t>VALOR DA CONTRAPRESTAÇÃO ANUAL (EM R$)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</si>
  <si>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</si>
  <si>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</si>
  <si>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</si>
  <si>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</si>
  <si>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</si>
  <si>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</si>
  <si>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</si>
  <si>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</si>
  <si>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</si>
  <si>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</si>
  <si>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</si>
  <si>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</si>
  <si>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</si>
  <si>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</si>
  <si>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</si>
  <si>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</si>
  <si>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</si>
  <si>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</si>
  <si>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</si>
  <si>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</si>
  <si>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Operação da Unidade de Triagem RSU</t>
  </si>
  <si>
    <t>3 ano</t>
  </si>
  <si>
    <t>Período de Remuneração</t>
  </si>
  <si>
    <t>Anos de Contraprestação</t>
  </si>
  <si>
    <t>PPP Duque de Caxias</t>
  </si>
  <si>
    <t>Serviços de Gestão de Resíduos Sólidos - Destinação</t>
  </si>
  <si>
    <t>Energia</t>
  </si>
  <si>
    <t>IGPM</t>
  </si>
  <si>
    <t>PARCELA DE AMORTIZAÇÃO + REMUNERAÇÃO</t>
  </si>
  <si>
    <t>ANEXO VIII - PLANO DE NEGÓCIO DE REFERÊNCIA</t>
  </si>
  <si>
    <t>VALOR TOTAL DO CONTRATO (EM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</si>
</sst>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"/>
    <numFmt numFmtId="166" formatCode="_(* #,##0.00_);_(* \(#,##0.00\);_(* &quot;-&quot;??_);_(@_)"/>
    <numFmt numFmtId="167" formatCode="0.0"/>
    <numFmt numFmtId="168" formatCode="_-* #,##0_-;\-* #,##0_-;_-* &quot;-&quot;??_-;_-@_-"/>
    <numFmt numFmtId="169" formatCode="0.000"/>
    <numFmt numFmtId="170" formatCode="0.0%"/>
    <numFmt numFmtId="171" formatCode="_(* #,##0_);_(* \(#,##0\);_(* &quot;-&quot;??_);_(@_)"/>
    <numFmt numFmtId="172" formatCode="#\&amp;&quot;(dias trabalhados/mês)&quot;"/>
    <numFmt numFmtId="173" formatCode="_-* #,##0.0000_-;\-* #,##0.0000_-;_-* &quot;-&quot;??_-;_-@_-"/>
    <numFmt numFmtId="174" formatCode="_-* #,##0.0_-;\-* #,##0.0_-;_-* &quot;-&quot;?_-;_-@_-"/>
    <numFmt numFmtId="175" formatCode="#,##0,"/>
    <numFmt numFmtId="176" formatCode="_-&quot;R$&quot;\ * #,##0_-;\-&quot;R$&quot;\ * #,##0_-;_-&quot;R$&quot;\ * &quot;-&quot;??_-;_-@_-"/>
  </numFmts>
  <fonts count="44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2"/>
      <name val="Calibri Light"/>
      <family val="2"/>
      <scheme val="major"/>
    </font>
    <font>
      <sz val="12"/>
      <color theme="4" tint="-0.499984740745262"/>
      <name val="Calibri"/>
      <family val="2"/>
      <scheme val="minor"/>
    </font>
    <font>
      <sz val="11"/>
      <color theme="5" tint="-0.24994659260841701"/>
      <name val="Calibri Light"/>
      <family val="2"/>
      <scheme val="major"/>
    </font>
    <font>
      <sz val="12"/>
      <color theme="5" tint="-0.24994659260841701"/>
      <name val="Calibri Light"/>
      <family val="2"/>
      <scheme val="maj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sz val="10"/>
      <name val="Times New Roman"/>
      <family val="1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b/>
      <i/>
      <sz val="9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b/>
      <sz val="16"/>
      <color indexed="8"/>
      <name val="Calibri"/>
      <family val="2"/>
    </font>
    <font>
      <b/>
      <sz val="16"/>
      <color indexed="22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22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rgb="FFFF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8"/>
      <color theme="1"/>
      <name val="Calibri"/>
      <family val="2"/>
    </font>
    <font>
      <sz val="8"/>
      <color theme="1"/>
      <name val="Calibri (Corpo)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4B574A"/>
        <bgColor theme="9" tint="-0.499984740745262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</borders>
  <cellStyleXfs count="79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5" fillId="2" borderId="0" applyNumberFormat="0" applyProtection="0">
      <alignment vertical="center" wrapText="1"/>
    </xf>
    <xf numFmtId="0" fontId="6" fillId="0" borderId="0">
      <alignment horizontal="left" vertical="center" wrapText="1"/>
    </xf>
    <xf numFmtId="0" fontId="7" fillId="3" borderId="0" applyNumberFormat="0" applyFill="0" applyBorder="0" applyProtection="0"/>
    <xf numFmtId="0" fontId="8" fillId="0" borderId="7" applyNumberFormat="0" applyFill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9" fontId="4" fillId="0" borderId="0" applyBorder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14" borderId="0" applyNumberFormat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3">
    <xf numFmtId="0" fontId="0" fillId="0" borderId="0" xfId="0"/>
    <xf numFmtId="0" fontId="10" fillId="0" borderId="0" xfId="0" applyFont="1"/>
    <xf numFmtId="0" fontId="0" fillId="0" borderId="0" xfId="0" applyAlignment="1">
      <alignment vertical="center"/>
    </xf>
    <xf numFmtId="44" fontId="0" fillId="0" borderId="0" xfId="0" applyNumberFormat="1"/>
    <xf numFmtId="0" fontId="14" fillId="0" borderId="0" xfId="0" applyFont="1"/>
    <xf numFmtId="168" fontId="0" fillId="0" borderId="0" xfId="0" applyNumberFormat="1"/>
    <xf numFmtId="9" fontId="0" fillId="0" borderId="0" xfId="0" applyNumberFormat="1"/>
    <xf numFmtId="0" fontId="14" fillId="6" borderId="0" xfId="0" applyFont="1" applyFill="1"/>
    <xf numFmtId="0" fontId="0" fillId="0" borderId="0" xfId="0" applyAlignment="1">
      <alignment horizontal="right"/>
    </xf>
    <xf numFmtId="43" fontId="17" fillId="10" borderId="0" xfId="39" applyNumberFormat="1" applyFont="1" applyFill="1" applyAlignment="1">
      <alignment horizontal="left"/>
    </xf>
    <xf numFmtId="0" fontId="17" fillId="10" borderId="0" xfId="39" applyFont="1" applyFill="1" applyAlignment="1">
      <alignment horizontal="center"/>
    </xf>
    <xf numFmtId="0" fontId="17" fillId="10" borderId="0" xfId="39" applyFont="1" applyFill="1" applyAlignment="1">
      <alignment horizontal="centerContinuous"/>
    </xf>
    <xf numFmtId="0" fontId="18" fillId="10" borderId="0" xfId="39" applyFont="1" applyFill="1" applyAlignment="1">
      <alignment horizontal="center"/>
    </xf>
    <xf numFmtId="0" fontId="18" fillId="10" borderId="0" xfId="39" applyFont="1" applyFill="1" applyAlignment="1">
      <alignment horizontal="centerContinuous"/>
    </xf>
    <xf numFmtId="1" fontId="18" fillId="10" borderId="0" xfId="39" applyNumberFormat="1" applyFont="1" applyFill="1" applyAlignment="1">
      <alignment horizontal="center"/>
    </xf>
    <xf numFmtId="0" fontId="18" fillId="0" borderId="0" xfId="39" applyFont="1" applyAlignment="1">
      <alignment horizontal="center"/>
    </xf>
    <xf numFmtId="0" fontId="18" fillId="0" borderId="0" xfId="39" applyFont="1"/>
    <xf numFmtId="0" fontId="20" fillId="0" borderId="5" xfId="39" applyFont="1" applyBorder="1"/>
    <xf numFmtId="0" fontId="20" fillId="0" borderId="5" xfId="39" applyFont="1" applyBorder="1" applyAlignment="1">
      <alignment horizontal="center"/>
    </xf>
    <xf numFmtId="0" fontId="20" fillId="0" borderId="5" xfId="40" applyNumberFormat="1" applyFont="1" applyFill="1" applyBorder="1" applyAlignment="1">
      <alignment horizontal="center"/>
    </xf>
    <xf numFmtId="0" fontId="20" fillId="0" borderId="0" xfId="40" applyNumberFormat="1" applyFont="1" applyFill="1" applyBorder="1" applyAlignment="1">
      <alignment horizontal="center"/>
    </xf>
    <xf numFmtId="0" fontId="20" fillId="0" borderId="0" xfId="39" applyFont="1"/>
    <xf numFmtId="0" fontId="19" fillId="0" borderId="0" xfId="39" applyFont="1"/>
    <xf numFmtId="0" fontId="19" fillId="0" borderId="0" xfId="39" applyFont="1" applyAlignment="1">
      <alignment horizontal="center"/>
    </xf>
    <xf numFmtId="0" fontId="19" fillId="0" borderId="0" xfId="39" applyFont="1" applyAlignment="1">
      <alignment horizontal="right"/>
    </xf>
    <xf numFmtId="9" fontId="20" fillId="0" borderId="0" xfId="39" applyNumberFormat="1" applyFont="1" applyAlignment="1">
      <alignment horizontal="center"/>
    </xf>
    <xf numFmtId="9" fontId="19" fillId="0" borderId="0" xfId="39" applyNumberFormat="1" applyFont="1"/>
    <xf numFmtId="171" fontId="19" fillId="0" borderId="0" xfId="34" applyNumberFormat="1" applyFont="1" applyFill="1" applyBorder="1" applyAlignment="1">
      <alignment horizontal="center"/>
    </xf>
    <xf numFmtId="0" fontId="20" fillId="0" borderId="0" xfId="39" applyFont="1" applyAlignment="1">
      <alignment horizontal="center"/>
    </xf>
    <xf numFmtId="0" fontId="19" fillId="0" borderId="0" xfId="39" applyFont="1" applyAlignment="1">
      <alignment horizontal="left"/>
    </xf>
    <xf numFmtId="0" fontId="21" fillId="0" borderId="0" xfId="39" applyFont="1" applyAlignment="1">
      <alignment horizontal="left"/>
    </xf>
    <xf numFmtId="171" fontId="20" fillId="0" borderId="0" xfId="34" applyNumberFormat="1" applyFont="1" applyFill="1" applyBorder="1" applyAlignment="1">
      <alignment horizontal="center"/>
    </xf>
    <xf numFmtId="38" fontId="19" fillId="0" borderId="0" xfId="39" applyNumberFormat="1" applyFont="1" applyAlignment="1">
      <alignment horizontal="center"/>
    </xf>
    <xf numFmtId="43" fontId="19" fillId="0" borderId="0" xfId="34" applyFont="1" applyFill="1" applyBorder="1" applyAlignment="1">
      <alignment horizontal="center"/>
    </xf>
    <xf numFmtId="0" fontId="20" fillId="5" borderId="0" xfId="39" applyFont="1" applyFill="1" applyAlignment="1">
      <alignment horizontal="left" indent="2"/>
    </xf>
    <xf numFmtId="170" fontId="19" fillId="5" borderId="0" xfId="39" applyNumberFormat="1" applyFont="1" applyFill="1" applyAlignment="1">
      <alignment horizontal="center"/>
    </xf>
    <xf numFmtId="168" fontId="20" fillId="5" borderId="0" xfId="62" applyNumberFormat="1" applyFont="1" applyFill="1" applyBorder="1"/>
    <xf numFmtId="38" fontId="19" fillId="5" borderId="0" xfId="39" applyNumberFormat="1" applyFont="1" applyFill="1" applyAlignment="1">
      <alignment horizontal="center"/>
    </xf>
    <xf numFmtId="0" fontId="19" fillId="5" borderId="0" xfId="39" applyFont="1" applyFill="1" applyAlignment="1">
      <alignment horizontal="center"/>
    </xf>
    <xf numFmtId="0" fontId="19" fillId="5" borderId="0" xfId="39" applyFont="1" applyFill="1"/>
    <xf numFmtId="0" fontId="20" fillId="0" borderId="0" xfId="39" applyFont="1" applyAlignment="1">
      <alignment horizontal="left" indent="2"/>
    </xf>
    <xf numFmtId="43" fontId="19" fillId="0" borderId="0" xfId="62" applyFont="1" applyFill="1" applyBorder="1" applyAlignment="1">
      <alignment horizontal="center"/>
    </xf>
    <xf numFmtId="168" fontId="19" fillId="0" borderId="0" xfId="62" applyNumberFormat="1" applyFont="1" applyFill="1" applyBorder="1" applyAlignment="1">
      <alignment horizontal="right"/>
    </xf>
    <xf numFmtId="9" fontId="20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right"/>
    </xf>
    <xf numFmtId="168" fontId="19" fillId="0" borderId="0" xfId="62" applyNumberFormat="1" applyFont="1" applyFill="1" applyBorder="1" applyAlignment="1">
      <alignment horizontal="center"/>
    </xf>
    <xf numFmtId="9" fontId="20" fillId="0" borderId="0" xfId="3" applyFont="1" applyFill="1" applyBorder="1" applyAlignment="1">
      <alignment horizontal="left"/>
    </xf>
    <xf numFmtId="10" fontId="20" fillId="0" borderId="0" xfId="39" applyNumberFormat="1" applyFont="1" applyAlignment="1">
      <alignment horizontal="center"/>
    </xf>
    <xf numFmtId="168" fontId="20" fillId="0" borderId="0" xfId="39" applyNumberFormat="1" applyFont="1"/>
    <xf numFmtId="168" fontId="20" fillId="0" borderId="0" xfId="62" applyNumberFormat="1" applyFont="1" applyFill="1" applyBorder="1" applyAlignment="1">
      <alignment horizontal="center"/>
    </xf>
    <xf numFmtId="168" fontId="19" fillId="0" borderId="0" xfId="39" applyNumberFormat="1" applyFont="1"/>
    <xf numFmtId="170" fontId="19" fillId="0" borderId="0" xfId="3" applyNumberFormat="1" applyFont="1" applyFill="1" applyBorder="1" applyAlignment="1">
      <alignment horizontal="center"/>
    </xf>
    <xf numFmtId="0" fontId="20" fillId="0" borderId="0" xfId="39" applyFont="1" applyAlignment="1">
      <alignment horizontal="left" indent="20"/>
    </xf>
    <xf numFmtId="10" fontId="19" fillId="0" borderId="0" xfId="3" applyNumberFormat="1" applyFont="1" applyFill="1" applyBorder="1" applyAlignment="1">
      <alignment horizontal="center"/>
    </xf>
    <xf numFmtId="170" fontId="20" fillId="0" borderId="0" xfId="3" applyNumberFormat="1" applyFont="1" applyFill="1" applyBorder="1" applyAlignment="1">
      <alignment horizontal="center"/>
    </xf>
    <xf numFmtId="170" fontId="20" fillId="0" borderId="0" xfId="39" applyNumberFormat="1" applyFont="1" applyAlignment="1">
      <alignment horizontal="center"/>
    </xf>
    <xf numFmtId="0" fontId="20" fillId="6" borderId="0" xfId="39" applyFont="1" applyFill="1"/>
    <xf numFmtId="0" fontId="19" fillId="6" borderId="0" xfId="39" applyFont="1" applyFill="1"/>
    <xf numFmtId="0" fontId="19" fillId="6" borderId="0" xfId="39" applyFont="1" applyFill="1" applyAlignment="1">
      <alignment horizontal="right"/>
    </xf>
    <xf numFmtId="168" fontId="20" fillId="6" borderId="0" xfId="62" applyNumberFormat="1" applyFont="1" applyFill="1" applyBorder="1" applyAlignment="1">
      <alignment horizontal="center"/>
    </xf>
    <xf numFmtId="43" fontId="20" fillId="0" borderId="0" xfId="62" applyFont="1" applyFill="1" applyBorder="1" applyAlignment="1">
      <alignment horizontal="center"/>
    </xf>
    <xf numFmtId="43" fontId="19" fillId="0" borderId="0" xfId="62" applyFont="1" applyFill="1" applyBorder="1"/>
    <xf numFmtId="9" fontId="19" fillId="0" borderId="0" xfId="3" applyFont="1" applyFill="1" applyBorder="1" applyAlignment="1">
      <alignment horizontal="left"/>
    </xf>
    <xf numFmtId="0" fontId="20" fillId="0" borderId="0" xfId="39" applyFont="1" applyAlignment="1">
      <alignment horizontal="left" indent="3"/>
    </xf>
    <xf numFmtId="0" fontId="19" fillId="9" borderId="0" xfId="39" applyFont="1" applyFill="1"/>
    <xf numFmtId="0" fontId="22" fillId="9" borderId="0" xfId="39" applyFont="1" applyFill="1"/>
    <xf numFmtId="0" fontId="22" fillId="9" borderId="0" xfId="39" applyFont="1" applyFill="1" applyAlignment="1">
      <alignment horizontal="center"/>
    </xf>
    <xf numFmtId="170" fontId="22" fillId="9" borderId="0" xfId="41" applyNumberFormat="1" applyFont="1" applyFill="1" applyBorder="1" applyAlignment="1">
      <alignment horizontal="center"/>
    </xf>
    <xf numFmtId="9" fontId="22" fillId="9" borderId="0" xfId="41" applyFont="1" applyFill="1" applyBorder="1" applyAlignment="1">
      <alignment horizontal="center"/>
    </xf>
    <xf numFmtId="172" fontId="19" fillId="0" borderId="0" xfId="39" applyNumberFormat="1" applyFont="1" applyAlignment="1">
      <alignment horizontal="center"/>
    </xf>
    <xf numFmtId="43" fontId="23" fillId="6" borderId="0" xfId="34" applyFont="1" applyFill="1" applyBorder="1" applyAlignment="1">
      <alignment horizontal="center"/>
    </xf>
    <xf numFmtId="9" fontId="24" fillId="6" borderId="0" xfId="3" applyFont="1" applyFill="1" applyBorder="1" applyAlignment="1">
      <alignment horizontal="center"/>
    </xf>
    <xf numFmtId="168" fontId="23" fillId="6" borderId="0" xfId="62" applyNumberFormat="1" applyFont="1" applyFill="1" applyBorder="1" applyAlignment="1">
      <alignment horizontal="right"/>
    </xf>
    <xf numFmtId="0" fontId="20" fillId="0" borderId="0" xfId="39" applyFont="1" applyAlignment="1">
      <alignment horizontal="right"/>
    </xf>
    <xf numFmtId="168" fontId="19" fillId="6" borderId="0" xfId="62" applyNumberFormat="1" applyFont="1" applyFill="1" applyBorder="1" applyAlignment="1">
      <alignment horizontal="center"/>
    </xf>
    <xf numFmtId="9" fontId="19" fillId="0" borderId="0" xfId="3" applyFont="1" applyFill="1" applyBorder="1" applyAlignment="1"/>
    <xf numFmtId="2" fontId="19" fillId="0" borderId="0" xfId="3" applyNumberFormat="1" applyFont="1" applyFill="1" applyBorder="1" applyAlignment="1"/>
    <xf numFmtId="43" fontId="19" fillId="0" borderId="0" xfId="2" applyFont="1" applyFill="1" applyBorder="1" applyAlignment="1"/>
    <xf numFmtId="171" fontId="23" fillId="6" borderId="0" xfId="34" applyNumberFormat="1" applyFont="1" applyFill="1" applyBorder="1" applyAlignment="1">
      <alignment horizontal="center"/>
    </xf>
    <xf numFmtId="43" fontId="23" fillId="6" borderId="0" xfId="2" applyFont="1" applyFill="1" applyBorder="1" applyAlignment="1"/>
    <xf numFmtId="4" fontId="20" fillId="0" borderId="0" xfId="39" applyNumberFormat="1" applyFont="1" applyAlignment="1">
      <alignment horizontal="center"/>
    </xf>
    <xf numFmtId="168" fontId="19" fillId="8" borderId="0" xfId="62" applyNumberFormat="1" applyFont="1" applyFill="1" applyBorder="1" applyAlignment="1">
      <alignment horizontal="center"/>
    </xf>
    <xf numFmtId="168" fontId="23" fillId="0" borderId="0" xfId="62" applyNumberFormat="1" applyFont="1" applyFill="1" applyBorder="1" applyAlignment="1">
      <alignment horizontal="center"/>
    </xf>
    <xf numFmtId="171" fontId="19" fillId="8" borderId="0" xfId="34" applyNumberFormat="1" applyFont="1" applyFill="1" applyBorder="1" applyAlignment="1">
      <alignment horizontal="center"/>
    </xf>
    <xf numFmtId="38" fontId="23" fillId="0" borderId="0" xfId="39" applyNumberFormat="1" applyFont="1" applyAlignment="1">
      <alignment horizontal="center"/>
    </xf>
    <xf numFmtId="0" fontId="24" fillId="6" borderId="0" xfId="39" applyFont="1" applyFill="1"/>
    <xf numFmtId="168" fontId="23" fillId="6" borderId="0" xfId="62" applyNumberFormat="1" applyFont="1" applyFill="1" applyBorder="1" applyAlignment="1">
      <alignment horizontal="center"/>
    </xf>
    <xf numFmtId="0" fontId="24" fillId="6" borderId="0" xfId="39" applyFont="1" applyFill="1" applyAlignment="1">
      <alignment horizontal="center"/>
    </xf>
    <xf numFmtId="0" fontId="24" fillId="6" borderId="0" xfId="39" applyFont="1" applyFill="1" applyAlignment="1">
      <alignment horizontal="left" indent="2"/>
    </xf>
    <xf numFmtId="9" fontId="23" fillId="6" borderId="0" xfId="3" applyFont="1" applyFill="1" applyBorder="1" applyAlignment="1">
      <alignment horizontal="left"/>
    </xf>
    <xf numFmtId="168" fontId="10" fillId="0" borderId="0" xfId="0" applyNumberFormat="1" applyFont="1"/>
    <xf numFmtId="0" fontId="20" fillId="0" borderId="0" xfId="39" applyFont="1" applyAlignment="1">
      <alignment horizontal="left"/>
    </xf>
    <xf numFmtId="10" fontId="20" fillId="0" borderId="0" xfId="3" applyNumberFormat="1" applyFont="1" applyFill="1" applyBorder="1" applyAlignment="1">
      <alignment horizontal="center"/>
    </xf>
    <xf numFmtId="0" fontId="20" fillId="5" borderId="0" xfId="39" applyFont="1" applyFill="1"/>
    <xf numFmtId="0" fontId="25" fillId="0" borderId="0" xfId="0" applyFont="1" applyAlignment="1">
      <alignment vertical="center"/>
    </xf>
    <xf numFmtId="43" fontId="0" fillId="0" borderId="0" xfId="51" applyFont="1" applyAlignment="1">
      <alignment vertical="center"/>
    </xf>
    <xf numFmtId="0" fontId="0" fillId="0" borderId="27" xfId="0" applyBorder="1" applyAlignment="1">
      <alignment vertical="center"/>
    </xf>
    <xf numFmtId="0" fontId="27" fillId="0" borderId="3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7" fillId="0" borderId="1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8" fillId="11" borderId="37" xfId="0" applyFont="1" applyFill="1" applyBorder="1" applyAlignment="1">
      <alignment vertical="center"/>
    </xf>
    <xf numFmtId="0" fontId="28" fillId="11" borderId="38" xfId="0" applyFont="1" applyFill="1" applyBorder="1" applyAlignment="1">
      <alignment vertical="center"/>
    </xf>
    <xf numFmtId="43" fontId="28" fillId="11" borderId="38" xfId="51" applyFont="1" applyFill="1" applyBorder="1" applyAlignment="1">
      <alignment vertical="center"/>
    </xf>
    <xf numFmtId="173" fontId="0" fillId="0" borderId="0" xfId="0" applyNumberFormat="1" applyAlignment="1">
      <alignment vertical="center"/>
    </xf>
    <xf numFmtId="43" fontId="0" fillId="0" borderId="0" xfId="51" applyFont="1" applyBorder="1" applyAlignment="1">
      <alignment vertical="center"/>
    </xf>
    <xf numFmtId="0" fontId="0" fillId="0" borderId="34" xfId="0" applyBorder="1" applyAlignment="1">
      <alignment vertical="center"/>
    </xf>
    <xf numFmtId="10" fontId="0" fillId="0" borderId="34" xfId="5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43" fontId="0" fillId="0" borderId="17" xfId="51" applyFont="1" applyBorder="1" applyAlignment="1">
      <alignment vertical="center"/>
    </xf>
    <xf numFmtId="0" fontId="28" fillId="11" borderId="37" xfId="0" applyFont="1" applyFill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29" fillId="10" borderId="30" xfId="0" applyFont="1" applyFill="1" applyBorder="1" applyAlignment="1">
      <alignment vertical="center"/>
    </xf>
    <xf numFmtId="0" fontId="29" fillId="10" borderId="31" xfId="0" applyFont="1" applyFill="1" applyBorder="1" applyAlignment="1">
      <alignment vertical="center"/>
    </xf>
    <xf numFmtId="43" fontId="29" fillId="10" borderId="31" xfId="0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170" fontId="0" fillId="0" borderId="0" xfId="3" applyNumberFormat="1" applyFont="1" applyAlignment="1">
      <alignment vertical="center"/>
    </xf>
    <xf numFmtId="10" fontId="0" fillId="0" borderId="0" xfId="3" applyNumberFormat="1" applyFont="1" applyAlignment="1">
      <alignment vertical="center"/>
    </xf>
    <xf numFmtId="9" fontId="0" fillId="0" borderId="0" xfId="0" applyNumberFormat="1" applyAlignment="1">
      <alignment vertical="center"/>
    </xf>
    <xf numFmtId="0" fontId="14" fillId="0" borderId="19" xfId="0" applyFont="1" applyBorder="1" applyAlignment="1">
      <alignment vertical="center"/>
    </xf>
    <xf numFmtId="10" fontId="14" fillId="0" borderId="19" xfId="50" applyNumberFormat="1" applyFont="1" applyBorder="1" applyAlignment="1">
      <alignment vertical="center"/>
    </xf>
    <xf numFmtId="43" fontId="14" fillId="0" borderId="0" xfId="51" applyFont="1" applyAlignment="1">
      <alignment vertical="center"/>
    </xf>
    <xf numFmtId="0" fontId="14" fillId="0" borderId="26" xfId="0" applyFont="1" applyBorder="1" applyAlignment="1">
      <alignment vertical="center"/>
    </xf>
    <xf numFmtId="43" fontId="14" fillId="0" borderId="17" xfId="51" applyFont="1" applyBorder="1" applyAlignment="1">
      <alignment vertical="center"/>
    </xf>
    <xf numFmtId="9" fontId="14" fillId="0" borderId="0" xfId="50" applyFont="1" applyAlignment="1">
      <alignment vertical="center"/>
    </xf>
    <xf numFmtId="0" fontId="10" fillId="0" borderId="19" xfId="0" applyFont="1" applyBorder="1" applyAlignment="1">
      <alignment vertical="center"/>
    </xf>
    <xf numFmtId="10" fontId="10" fillId="0" borderId="19" xfId="5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51" applyFont="1" applyAlignment="1">
      <alignment vertical="center"/>
    </xf>
    <xf numFmtId="43" fontId="10" fillId="0" borderId="0" xfId="2" applyFont="1" applyAlignment="1">
      <alignment vertical="center"/>
    </xf>
    <xf numFmtId="43" fontId="10" fillId="0" borderId="17" xfId="51" applyFont="1" applyBorder="1" applyAlignment="1">
      <alignment vertical="center"/>
    </xf>
    <xf numFmtId="0" fontId="14" fillId="6" borderId="0" xfId="0" applyFont="1" applyFill="1" applyAlignment="1">
      <alignment vertical="center"/>
    </xf>
    <xf numFmtId="43" fontId="14" fillId="6" borderId="0" xfId="51" applyFont="1" applyFill="1" applyAlignment="1">
      <alignment vertical="center"/>
    </xf>
    <xf numFmtId="43" fontId="14" fillId="6" borderId="17" xfId="5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10" fontId="14" fillId="6" borderId="19" xfId="50" applyNumberFormat="1" applyFont="1" applyFill="1" applyBorder="1" applyAlignment="1">
      <alignment vertical="center"/>
    </xf>
    <xf numFmtId="10" fontId="14" fillId="6" borderId="17" xfId="3" applyNumberFormat="1" applyFont="1" applyFill="1" applyBorder="1" applyAlignment="1">
      <alignment vertical="center"/>
    </xf>
    <xf numFmtId="10" fontId="10" fillId="0" borderId="19" xfId="50" applyNumberFormat="1" applyFont="1" applyFill="1" applyBorder="1" applyAlignment="1">
      <alignment vertical="center"/>
    </xf>
    <xf numFmtId="10" fontId="10" fillId="0" borderId="19" xfId="3" applyNumberFormat="1" applyFont="1" applyFill="1" applyBorder="1" applyAlignment="1">
      <alignment vertical="center"/>
    </xf>
    <xf numFmtId="43" fontId="10" fillId="0" borderId="0" xfId="51" applyFont="1" applyFill="1" applyAlignment="1">
      <alignment vertical="center"/>
    </xf>
    <xf numFmtId="0" fontId="10" fillId="0" borderId="14" xfId="0" applyFont="1" applyBorder="1" applyAlignment="1">
      <alignment vertical="center"/>
    </xf>
    <xf numFmtId="43" fontId="10" fillId="0" borderId="4" xfId="51" applyFont="1" applyFill="1" applyBorder="1" applyAlignment="1">
      <alignment vertical="center"/>
    </xf>
    <xf numFmtId="44" fontId="10" fillId="0" borderId="0" xfId="1" applyFont="1" applyFill="1" applyAlignment="1">
      <alignment vertical="center"/>
    </xf>
    <xf numFmtId="0" fontId="0" fillId="0" borderId="2" xfId="0" applyBorder="1" applyAlignment="1">
      <alignment horizontal="right" vertical="center"/>
    </xf>
    <xf numFmtId="173" fontId="0" fillId="0" borderId="0" xfId="2" applyNumberFormat="1" applyFont="1" applyAlignment="1">
      <alignment vertical="center"/>
    </xf>
    <xf numFmtId="0" fontId="11" fillId="12" borderId="28" xfId="0" applyFont="1" applyFill="1" applyBorder="1" applyAlignment="1">
      <alignment horizontal="left" vertical="center"/>
    </xf>
    <xf numFmtId="0" fontId="0" fillId="12" borderId="29" xfId="0" applyFill="1" applyBorder="1" applyAlignment="1">
      <alignment vertical="center"/>
    </xf>
    <xf numFmtId="43" fontId="3" fillId="12" borderId="29" xfId="51" applyFont="1" applyFill="1" applyBorder="1" applyAlignment="1">
      <alignment vertical="center"/>
    </xf>
    <xf numFmtId="0" fontId="3" fillId="12" borderId="29" xfId="0" applyFont="1" applyFill="1" applyBorder="1" applyAlignment="1">
      <alignment vertical="center"/>
    </xf>
    <xf numFmtId="43" fontId="3" fillId="12" borderId="29" xfId="2" applyFont="1" applyFill="1" applyBorder="1" applyAlignment="1">
      <alignment vertical="center"/>
    </xf>
    <xf numFmtId="0" fontId="0" fillId="0" borderId="32" xfId="0" applyBorder="1" applyAlignment="1">
      <alignment horizontal="right" vertical="center"/>
    </xf>
    <xf numFmtId="43" fontId="0" fillId="0" borderId="34" xfId="51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43" fontId="0" fillId="0" borderId="19" xfId="51" applyFont="1" applyBorder="1" applyAlignment="1">
      <alignment vertical="center"/>
    </xf>
    <xf numFmtId="0" fontId="0" fillId="0" borderId="26" xfId="0" applyBorder="1" applyAlignment="1">
      <alignment vertical="center"/>
    </xf>
    <xf numFmtId="43" fontId="0" fillId="0" borderId="26" xfId="51" applyFont="1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43" fontId="0" fillId="0" borderId="14" xfId="51" applyFont="1" applyBorder="1" applyAlignment="1">
      <alignment vertical="center"/>
    </xf>
    <xf numFmtId="43" fontId="0" fillId="0" borderId="14" xfId="5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18" xfId="0" applyBorder="1" applyAlignment="1">
      <alignment horizontal="right" vertical="center"/>
    </xf>
    <xf numFmtId="43" fontId="0" fillId="0" borderId="0" xfId="2" applyFont="1" applyAlignment="1">
      <alignment vertical="center"/>
    </xf>
    <xf numFmtId="0" fontId="0" fillId="0" borderId="23" xfId="0" applyBorder="1" applyAlignment="1">
      <alignment vertical="center"/>
    </xf>
    <xf numFmtId="43" fontId="0" fillId="0" borderId="26" xfId="51" quotePrefix="1" applyFont="1" applyBorder="1" applyAlignment="1">
      <alignment vertical="center"/>
    </xf>
    <xf numFmtId="10" fontId="0" fillId="6" borderId="0" xfId="0" applyNumberFormat="1" applyFill="1" applyAlignment="1">
      <alignment vertical="center"/>
    </xf>
    <xf numFmtId="0" fontId="27" fillId="0" borderId="0" xfId="0" applyFont="1" applyAlignment="1">
      <alignment vertical="center"/>
    </xf>
    <xf numFmtId="10" fontId="0" fillId="0" borderId="0" xfId="50" applyNumberFormat="1" applyFont="1" applyAlignment="1">
      <alignment vertical="center"/>
    </xf>
    <xf numFmtId="0" fontId="0" fillId="6" borderId="22" xfId="0" applyFill="1" applyBorder="1" applyAlignment="1">
      <alignment horizontal="right" vertical="center"/>
    </xf>
    <xf numFmtId="0" fontId="2" fillId="0" borderId="8" xfId="68" applyBorder="1"/>
    <xf numFmtId="0" fontId="2" fillId="0" borderId="9" xfId="68" applyBorder="1"/>
    <xf numFmtId="0" fontId="2" fillId="0" borderId="9" xfId="68" applyBorder="1" applyAlignment="1">
      <alignment horizontal="center"/>
    </xf>
    <xf numFmtId="0" fontId="2" fillId="0" borderId="10" xfId="68" applyBorder="1" applyAlignment="1">
      <alignment horizontal="center"/>
    </xf>
    <xf numFmtId="0" fontId="2" fillId="0" borderId="0" xfId="68"/>
    <xf numFmtId="0" fontId="2" fillId="0" borderId="35" xfId="68" applyBorder="1"/>
    <xf numFmtId="4" fontId="2" fillId="0" borderId="0" xfId="68" applyNumberFormat="1"/>
    <xf numFmtId="4" fontId="2" fillId="0" borderId="11" xfId="68" applyNumberFormat="1" applyBorder="1"/>
    <xf numFmtId="0" fontId="2" fillId="0" borderId="24" xfId="68" applyBorder="1"/>
    <xf numFmtId="0" fontId="2" fillId="0" borderId="5" xfId="68" applyBorder="1"/>
    <xf numFmtId="4" fontId="3" fillId="0" borderId="5" xfId="68" applyNumberFormat="1" applyFont="1" applyBorder="1"/>
    <xf numFmtId="4" fontId="3" fillId="0" borderId="16" xfId="68" applyNumberFormat="1" applyFont="1" applyBorder="1"/>
    <xf numFmtId="3" fontId="2" fillId="0" borderId="0" xfId="68" applyNumberFormat="1"/>
    <xf numFmtId="0" fontId="2" fillId="0" borderId="0" xfId="68" applyAlignment="1">
      <alignment horizontal="center"/>
    </xf>
    <xf numFmtId="43" fontId="0" fillId="0" borderId="0" xfId="69" applyFont="1"/>
    <xf numFmtId="0" fontId="0" fillId="0" borderId="0" xfId="68" applyFont="1"/>
    <xf numFmtId="0" fontId="10" fillId="0" borderId="26" xfId="0" applyFont="1" applyBorder="1" applyAlignment="1">
      <alignment vertical="center"/>
    </xf>
    <xf numFmtId="44" fontId="14" fillId="0" borderId="0" xfId="50" applyNumberFormat="1" applyFont="1" applyAlignment="1">
      <alignment vertical="center"/>
    </xf>
    <xf numFmtId="10" fontId="10" fillId="0" borderId="17" xfId="50" applyNumberFormat="1" applyFont="1" applyBorder="1" applyAlignment="1">
      <alignment vertical="center"/>
    </xf>
    <xf numFmtId="2" fontId="2" fillId="6" borderId="0" xfId="68" applyNumberFormat="1" applyFill="1"/>
    <xf numFmtId="0" fontId="14" fillId="0" borderId="0" xfId="68" applyFont="1"/>
    <xf numFmtId="43" fontId="10" fillId="7" borderId="0" xfId="2" applyFont="1" applyFill="1" applyAlignment="1">
      <alignment vertical="center"/>
    </xf>
    <xf numFmtId="0" fontId="10" fillId="7" borderId="19" xfId="0" applyFont="1" applyFill="1" applyBorder="1" applyAlignment="1">
      <alignment vertical="center"/>
    </xf>
    <xf numFmtId="10" fontId="10" fillId="7" borderId="19" xfId="50" applyNumberFormat="1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43" fontId="10" fillId="7" borderId="0" xfId="51" applyFont="1" applyFill="1" applyAlignment="1">
      <alignment vertical="center"/>
    </xf>
    <xf numFmtId="0" fontId="10" fillId="7" borderId="0" xfId="0" applyFont="1" applyFill="1"/>
    <xf numFmtId="43" fontId="10" fillId="7" borderId="17" xfId="5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0" fontId="10" fillId="6" borderId="19" xfId="50" applyNumberFormat="1" applyFont="1" applyFill="1" applyBorder="1" applyAlignment="1">
      <alignment vertical="center"/>
    </xf>
    <xf numFmtId="43" fontId="10" fillId="6" borderId="17" xfId="51" applyFont="1" applyFill="1" applyBorder="1" applyAlignment="1">
      <alignment vertical="center"/>
    </xf>
    <xf numFmtId="10" fontId="10" fillId="6" borderId="17" xfId="3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43" fontId="10" fillId="6" borderId="0" xfId="51" applyFont="1" applyFill="1" applyAlignment="1">
      <alignment vertical="center"/>
    </xf>
    <xf numFmtId="0" fontId="10" fillId="6" borderId="0" xfId="0" applyFont="1" applyFill="1"/>
    <xf numFmtId="168" fontId="28" fillId="11" borderId="38" xfId="51" applyNumberFormat="1" applyFont="1" applyFill="1" applyBorder="1" applyAlignment="1">
      <alignment vertical="center"/>
    </xf>
    <xf numFmtId="168" fontId="28" fillId="11" borderId="38" xfId="0" applyNumberFormat="1" applyFont="1" applyFill="1" applyBorder="1" applyAlignment="1">
      <alignment vertical="center"/>
    </xf>
    <xf numFmtId="168" fontId="29" fillId="10" borderId="31" xfId="0" applyNumberFormat="1" applyFont="1" applyFill="1" applyBorder="1" applyAlignment="1">
      <alignment vertical="center"/>
    </xf>
    <xf numFmtId="0" fontId="10" fillId="7" borderId="34" xfId="0" applyFont="1" applyFill="1" applyBorder="1" applyAlignment="1">
      <alignment vertical="center"/>
    </xf>
    <xf numFmtId="10" fontId="10" fillId="7" borderId="34" xfId="5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10" fontId="10" fillId="0" borderId="17" xfId="3" applyNumberFormat="1" applyFont="1" applyBorder="1" applyAlignment="1">
      <alignment vertical="center"/>
    </xf>
    <xf numFmtId="44" fontId="10" fillId="0" borderId="0" xfId="50" applyNumberFormat="1" applyFont="1" applyAlignment="1">
      <alignment vertical="center"/>
    </xf>
    <xf numFmtId="43" fontId="10" fillId="0" borderId="14" xfId="51" applyFont="1" applyBorder="1" applyAlignment="1">
      <alignment vertical="center"/>
    </xf>
    <xf numFmtId="9" fontId="10" fillId="0" borderId="0" xfId="51" applyNumberFormat="1" applyFont="1" applyAlignment="1">
      <alignment vertical="center"/>
    </xf>
    <xf numFmtId="0" fontId="10" fillId="0" borderId="34" xfId="0" applyFont="1" applyBorder="1" applyAlignment="1">
      <alignment vertical="center"/>
    </xf>
    <xf numFmtId="10" fontId="10" fillId="0" borderId="34" xfId="50" applyNumberFormat="1" applyFont="1" applyBorder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17" xfId="0" applyFont="1" applyBorder="1" applyAlignment="1">
      <alignment vertical="center"/>
    </xf>
    <xf numFmtId="10" fontId="10" fillId="0" borderId="19" xfId="3" applyNumberFormat="1" applyFont="1" applyBorder="1" applyAlignment="1">
      <alignment vertical="center"/>
    </xf>
    <xf numFmtId="43" fontId="10" fillId="0" borderId="4" xfId="51" applyFont="1" applyBorder="1" applyAlignment="1">
      <alignment vertical="center"/>
    </xf>
    <xf numFmtId="174" fontId="0" fillId="0" borderId="0" xfId="0" applyNumberFormat="1"/>
    <xf numFmtId="0" fontId="33" fillId="0" borderId="0" xfId="0" applyFont="1"/>
    <xf numFmtId="168" fontId="30" fillId="0" borderId="0" xfId="0" applyNumberFormat="1" applyFont="1"/>
    <xf numFmtId="167" fontId="30" fillId="0" borderId="0" xfId="0" applyNumberFormat="1" applyFont="1"/>
    <xf numFmtId="43" fontId="19" fillId="7" borderId="0" xfId="34" applyFont="1" applyFill="1" applyBorder="1" applyAlignment="1">
      <alignment horizontal="center"/>
    </xf>
    <xf numFmtId="43" fontId="10" fillId="15" borderId="0" xfId="0" applyNumberFormat="1" applyFont="1" applyFill="1" applyAlignment="1">
      <alignment vertical="center"/>
    </xf>
    <xf numFmtId="43" fontId="0" fillId="15" borderId="14" xfId="51" applyFont="1" applyFill="1" applyBorder="1" applyAlignment="1">
      <alignment vertical="center"/>
    </xf>
    <xf numFmtId="10" fontId="0" fillId="15" borderId="0" xfId="0" applyNumberFormat="1" applyFill="1" applyAlignment="1">
      <alignment vertical="center"/>
    </xf>
    <xf numFmtId="43" fontId="10" fillId="15" borderId="17" xfId="51" applyFont="1" applyFill="1" applyBorder="1" applyAlignment="1">
      <alignment vertical="center"/>
    </xf>
    <xf numFmtId="43" fontId="10" fillId="15" borderId="14" xfId="51" applyFont="1" applyFill="1" applyBorder="1" applyAlignment="1">
      <alignment vertical="center"/>
    </xf>
    <xf numFmtId="0" fontId="24" fillId="10" borderId="0" xfId="39" applyFont="1" applyFill="1" applyAlignment="1">
      <alignment horizontal="center"/>
    </xf>
    <xf numFmtId="1" fontId="23" fillId="10" borderId="0" xfId="39" applyNumberFormat="1" applyFont="1" applyFill="1" applyAlignment="1">
      <alignment horizontal="center"/>
    </xf>
    <xf numFmtId="0" fontId="23" fillId="0" borderId="0" xfId="39" applyFont="1" applyAlignment="1">
      <alignment horizontal="center"/>
    </xf>
    <xf numFmtId="0" fontId="24" fillId="0" borderId="5" xfId="40" applyNumberFormat="1" applyFont="1" applyFill="1" applyBorder="1" applyAlignment="1">
      <alignment horizontal="center"/>
    </xf>
    <xf numFmtId="171" fontId="23" fillId="0" borderId="0" xfId="34" applyNumberFormat="1" applyFont="1" applyFill="1" applyBorder="1" applyAlignment="1">
      <alignment horizontal="center"/>
    </xf>
    <xf numFmtId="171" fontId="24" fillId="0" borderId="0" xfId="34" applyNumberFormat="1" applyFont="1" applyFill="1" applyBorder="1" applyAlignment="1">
      <alignment horizontal="center"/>
    </xf>
    <xf numFmtId="43" fontId="23" fillId="0" borderId="0" xfId="34" applyFont="1" applyFill="1" applyBorder="1" applyAlignment="1">
      <alignment horizontal="center"/>
    </xf>
    <xf numFmtId="38" fontId="23" fillId="5" borderId="0" xfId="39" applyNumberFormat="1" applyFont="1" applyFill="1" applyAlignment="1">
      <alignment horizontal="center"/>
    </xf>
    <xf numFmtId="168" fontId="23" fillId="0" borderId="0" xfId="62" applyNumberFormat="1" applyFont="1" applyFill="1" applyBorder="1" applyAlignment="1">
      <alignment horizontal="right"/>
    </xf>
    <xf numFmtId="9" fontId="23" fillId="0" borderId="0" xfId="3" applyFont="1" applyFill="1" applyBorder="1" applyAlignment="1">
      <alignment horizontal="right"/>
    </xf>
    <xf numFmtId="168" fontId="24" fillId="0" borderId="0" xfId="39" applyNumberFormat="1" applyFont="1"/>
    <xf numFmtId="168" fontId="23" fillId="0" borderId="0" xfId="39" applyNumberFormat="1" applyFont="1"/>
    <xf numFmtId="168" fontId="24" fillId="0" borderId="0" xfId="62" applyNumberFormat="1" applyFont="1" applyFill="1" applyBorder="1" applyAlignment="1">
      <alignment horizontal="center"/>
    </xf>
    <xf numFmtId="170" fontId="35" fillId="9" borderId="0" xfId="41" applyNumberFormat="1" applyFont="1" applyFill="1" applyBorder="1" applyAlignment="1">
      <alignment horizontal="center"/>
    </xf>
    <xf numFmtId="0" fontId="36" fillId="0" borderId="0" xfId="73" applyFont="1"/>
    <xf numFmtId="0" fontId="36" fillId="0" borderId="0" xfId="73" applyFont="1" applyAlignment="1">
      <alignment horizontal="right"/>
    </xf>
    <xf numFmtId="0" fontId="36" fillId="0" borderId="0" xfId="73" applyFont="1" applyAlignment="1">
      <alignment vertical="top"/>
    </xf>
    <xf numFmtId="0" fontId="36" fillId="0" borderId="0" xfId="73" applyFont="1" applyAlignment="1">
      <alignment horizontal="right" vertical="top"/>
    </xf>
    <xf numFmtId="0" fontId="36" fillId="4" borderId="15" xfId="73" applyFont="1" applyFill="1" applyBorder="1"/>
    <xf numFmtId="0" fontId="36" fillId="4" borderId="15" xfId="73" applyFont="1" applyFill="1" applyBorder="1" applyAlignment="1">
      <alignment horizontal="right"/>
    </xf>
    <xf numFmtId="0" fontId="37" fillId="0" borderId="0" xfId="73" applyFont="1"/>
    <xf numFmtId="10" fontId="37" fillId="0" borderId="0" xfId="74" applyNumberFormat="1" applyFont="1"/>
    <xf numFmtId="165" fontId="37" fillId="0" borderId="0" xfId="74" applyNumberFormat="1" applyFont="1"/>
    <xf numFmtId="169" fontId="37" fillId="0" borderId="0" xfId="74" applyNumberFormat="1" applyFont="1"/>
    <xf numFmtId="0" fontId="36" fillId="0" borderId="5" xfId="73" applyFont="1" applyBorder="1"/>
    <xf numFmtId="0" fontId="36" fillId="0" borderId="5" xfId="73" applyFont="1" applyBorder="1" applyAlignment="1">
      <alignment horizontal="right"/>
    </xf>
    <xf numFmtId="175" fontId="36" fillId="0" borderId="5" xfId="73" applyNumberFormat="1" applyFont="1" applyBorder="1"/>
    <xf numFmtId="0" fontId="37" fillId="0" borderId="0" xfId="73" applyFont="1" applyAlignment="1">
      <alignment horizontal="left"/>
    </xf>
    <xf numFmtId="3" fontId="37" fillId="0" borderId="0" xfId="73" applyNumberFormat="1" applyFont="1"/>
    <xf numFmtId="0" fontId="36" fillId="0" borderId="15" xfId="73" applyFont="1" applyBorder="1"/>
    <xf numFmtId="175" fontId="36" fillId="0" borderId="15" xfId="73" applyNumberFormat="1" applyFont="1" applyBorder="1"/>
    <xf numFmtId="0" fontId="37" fillId="0" borderId="0" xfId="73" applyFont="1" applyAlignment="1">
      <alignment horizontal="right"/>
    </xf>
    <xf numFmtId="175" fontId="37" fillId="0" borderId="0" xfId="73" applyNumberFormat="1" applyFont="1"/>
    <xf numFmtId="10" fontId="36" fillId="0" borderId="0" xfId="74" applyNumberFormat="1" applyFont="1"/>
    <xf numFmtId="10" fontId="36" fillId="0" borderId="0" xfId="3" applyNumberFormat="1" applyFont="1"/>
    <xf numFmtId="43" fontId="37" fillId="0" borderId="0" xfId="73" applyNumberFormat="1" applyFont="1"/>
    <xf numFmtId="9" fontId="36" fillId="0" borderId="0" xfId="73" applyNumberFormat="1" applyFont="1"/>
    <xf numFmtId="0" fontId="36" fillId="0" borderId="0" xfId="73" applyFont="1" applyAlignment="1">
      <alignment horizontal="center"/>
    </xf>
    <xf numFmtId="175" fontId="36" fillId="0" borderId="0" xfId="73" applyNumberFormat="1" applyFont="1"/>
    <xf numFmtId="0" fontId="37" fillId="0" borderId="0" xfId="73" applyFont="1" applyAlignment="1">
      <alignment horizontal="center"/>
    </xf>
    <xf numFmtId="175" fontId="37" fillId="0" borderId="0" xfId="73" applyNumberFormat="1" applyFont="1" applyAlignment="1">
      <alignment horizontal="right"/>
    </xf>
    <xf numFmtId="0" fontId="38" fillId="0" borderId="0" xfId="73" applyFont="1"/>
    <xf numFmtId="10" fontId="38" fillId="0" borderId="0" xfId="74" applyNumberFormat="1" applyFont="1"/>
    <xf numFmtId="9" fontId="19" fillId="0" borderId="0" xfId="73" applyNumberFormat="1" applyFont="1"/>
    <xf numFmtId="9" fontId="37" fillId="0" borderId="0" xfId="73" applyNumberFormat="1" applyFont="1"/>
    <xf numFmtId="10" fontId="37" fillId="0" borderId="0" xfId="73" applyNumberFormat="1" applyFont="1"/>
    <xf numFmtId="9" fontId="37" fillId="0" borderId="0" xfId="3" applyFont="1"/>
    <xf numFmtId="9" fontId="36" fillId="0" borderId="0" xfId="74" applyFont="1" applyAlignment="1">
      <alignment horizontal="right"/>
    </xf>
    <xf numFmtId="0" fontId="37" fillId="0" borderId="0" xfId="73" quotePrefix="1" applyFont="1" applyAlignment="1">
      <alignment horizontal="center"/>
    </xf>
    <xf numFmtId="10" fontId="37" fillId="0" borderId="0" xfId="3" applyNumberFormat="1" applyFont="1"/>
    <xf numFmtId="0" fontId="36" fillId="0" borderId="5" xfId="73" applyFont="1" applyBorder="1" applyAlignment="1">
      <alignment horizontal="center"/>
    </xf>
    <xf numFmtId="0" fontId="37" fillId="0" borderId="5" xfId="73" applyFont="1" applyBorder="1"/>
    <xf numFmtId="175" fontId="37" fillId="0" borderId="5" xfId="73" applyNumberFormat="1" applyFont="1" applyBorder="1"/>
    <xf numFmtId="175" fontId="37" fillId="0" borderId="45" xfId="73" applyNumberFormat="1" applyFont="1" applyBorder="1"/>
    <xf numFmtId="175" fontId="37" fillId="0" borderId="44" xfId="73" applyNumberFormat="1" applyFont="1" applyBorder="1"/>
    <xf numFmtId="0" fontId="36" fillId="0" borderId="9" xfId="73" applyFont="1" applyBorder="1"/>
    <xf numFmtId="10" fontId="36" fillId="0" borderId="0" xfId="73" applyNumberFormat="1" applyFont="1"/>
    <xf numFmtId="2" fontId="36" fillId="0" borderId="0" xfId="73" applyNumberFormat="1" applyFont="1"/>
    <xf numFmtId="0" fontId="36" fillId="0" borderId="5" xfId="73" quotePrefix="1" applyFont="1" applyBorder="1" applyAlignment="1">
      <alignment horizontal="center"/>
    </xf>
    <xf numFmtId="0" fontId="39" fillId="0" borderId="0" xfId="73" applyFont="1"/>
    <xf numFmtId="0" fontId="40" fillId="0" borderId="43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176" fontId="0" fillId="0" borderId="19" xfId="0" applyNumberFormat="1" applyBorder="1" applyAlignment="1">
      <alignment vertical="center"/>
    </xf>
    <xf numFmtId="176" fontId="41" fillId="0" borderId="21" xfId="1" applyNumberFormat="1" applyFont="1" applyBorder="1" applyAlignment="1">
      <alignment horizontal="center" vertical="center" wrapText="1"/>
    </xf>
    <xf numFmtId="176" fontId="40" fillId="0" borderId="42" xfId="0" applyNumberFormat="1" applyFont="1" applyBorder="1" applyAlignment="1">
      <alignment horizontal="center" vertical="center" wrapText="1"/>
    </xf>
    <xf numFmtId="0" fontId="37" fillId="13" borderId="0" xfId="73" applyFont="1" applyFill="1" applyAlignment="1">
      <alignment horizontal="center"/>
    </xf>
    <xf numFmtId="0" fontId="36" fillId="0" borderId="44" xfId="73" applyFont="1" applyBorder="1"/>
    <xf numFmtId="175" fontId="37" fillId="0" borderId="0" xfId="73" applyNumberFormat="1" applyFont="1" applyAlignment="1">
      <alignment horizontal="left"/>
    </xf>
    <xf numFmtId="0" fontId="21" fillId="0" borderId="0" xfId="73" applyFont="1" applyAlignment="1">
      <alignment vertical="top"/>
    </xf>
    <xf numFmtId="169" fontId="42" fillId="0" borderId="44" xfId="2" applyNumberFormat="1" applyFont="1" applyFill="1" applyBorder="1" applyAlignment="1">
      <alignment horizontal="center" vertical="center"/>
    </xf>
    <xf numFmtId="0" fontId="43" fillId="0" borderId="0" xfId="73" applyFont="1"/>
    <xf numFmtId="175" fontId="20" fillId="0" borderId="0" xfId="73" applyNumberFormat="1" applyFont="1" applyFill="1"/>
    <xf numFmtId="10" fontId="20" fillId="0" borderId="0" xfId="74" applyNumberFormat="1" applyFont="1" applyFill="1"/>
    <xf numFmtId="9" fontId="42" fillId="0" borderId="0" xfId="73" applyNumberFormat="1" applyFont="1"/>
    <xf numFmtId="10" fontId="20" fillId="0" borderId="0" xfId="73" applyNumberFormat="1" applyFont="1" applyFill="1" applyAlignment="1">
      <alignment horizontal="center"/>
    </xf>
    <xf numFmtId="0" fontId="37" fillId="0" borderId="0" xfId="73" applyFont="1" applyFill="1" applyAlignment="1">
      <alignment horizontal="center"/>
    </xf>
    <xf numFmtId="0" fontId="37" fillId="0" borderId="0" xfId="73" applyFont="1" applyFill="1"/>
    <xf numFmtId="175" fontId="37" fillId="0" borderId="0" xfId="73" applyNumberFormat="1" applyFont="1" applyFill="1"/>
    <xf numFmtId="175" fontId="37" fillId="0" borderId="44" xfId="73" applyNumberFormat="1" applyFont="1" applyFill="1" applyBorder="1"/>
    <xf numFmtId="10" fontId="37" fillId="0" borderId="0" xfId="73" applyNumberFormat="1" applyFont="1" applyFill="1"/>
    <xf numFmtId="0" fontId="36" fillId="0" borderId="0" xfId="73" applyFont="1" applyFill="1"/>
    <xf numFmtId="10" fontId="36" fillId="0" borderId="0" xfId="3" applyNumberFormat="1" applyFont="1" applyFill="1"/>
    <xf numFmtId="0" fontId="37" fillId="0" borderId="0" xfId="73" applyFont="1" applyFill="1" applyAlignment="1">
      <alignment horizontal="right"/>
    </xf>
    <xf numFmtId="0" fontId="40" fillId="0" borderId="4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10" borderId="25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0" fillId="0" borderId="3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 wrapText="1"/>
    </xf>
    <xf numFmtId="0" fontId="10" fillId="7" borderId="33" xfId="0" applyFont="1" applyFill="1" applyBorder="1" applyAlignment="1">
      <alignment horizontal="right" vertical="center" wrapText="1"/>
    </xf>
    <xf numFmtId="0" fontId="10" fillId="7" borderId="18" xfId="0" applyFont="1" applyFill="1" applyBorder="1" applyAlignment="1">
      <alignment horizontal="right" vertical="center" wrapText="1"/>
    </xf>
    <xf numFmtId="0" fontId="10" fillId="7" borderId="22" xfId="0" applyFont="1" applyFill="1" applyBorder="1" applyAlignment="1">
      <alignment horizontal="right" vertical="center" wrapText="1"/>
    </xf>
    <xf numFmtId="0" fontId="14" fillId="6" borderId="22" xfId="0" applyFont="1" applyFill="1" applyBorder="1" applyAlignment="1">
      <alignment horizontal="right" vertical="center" wrapText="1"/>
    </xf>
    <xf numFmtId="0" fontId="14" fillId="6" borderId="18" xfId="0" applyFont="1" applyFill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6" borderId="22" xfId="0" applyFont="1" applyFill="1" applyBorder="1" applyAlignment="1">
      <alignment horizontal="right" vertical="center" wrapText="1"/>
    </xf>
    <xf numFmtId="0" fontId="10" fillId="6" borderId="18" xfId="0" applyFont="1" applyFill="1" applyBorder="1" applyAlignment="1">
      <alignment horizontal="right" vertical="center" wrapText="1"/>
    </xf>
    <xf numFmtId="0" fontId="17" fillId="10" borderId="0" xfId="39" applyFont="1" applyFill="1" applyAlignment="1">
      <alignment horizontal="center" vertical="center"/>
    </xf>
    <xf numFmtId="9" fontId="20" fillId="0" borderId="0" xfId="39" applyNumberFormat="1" applyFont="1" applyAlignment="1">
      <alignment horizontal="center" vertical="center"/>
    </xf>
  </cellXfs>
  <cellStyles count="79">
    <cellStyle name="Comma" xfId="40"/>
    <cellStyle name="Comma 2" xfId="59"/>
    <cellStyle name="Comma 2 2" xfId="77"/>
    <cellStyle name="Comma 3" xfId="46"/>
    <cellStyle name="Hiperlink 2" xfId="72"/>
    <cellStyle name="Moeda" xfId="1" builtinId="4"/>
    <cellStyle name="Moeda 2" xfId="15"/>
    <cellStyle name="Moeda 2 2" xfId="29"/>
    <cellStyle name="Moeda 2 3" xfId="65"/>
    <cellStyle name="Moeda 3" xfId="19"/>
    <cellStyle name="Moeda 3 2" xfId="55"/>
    <cellStyle name="Moeda 4" xfId="26"/>
    <cellStyle name="Normal" xfId="0" builtinId="0"/>
    <cellStyle name="Normal 12" xfId="20"/>
    <cellStyle name="Normal 13" xfId="4"/>
    <cellStyle name="Normal 2" xfId="13"/>
    <cellStyle name="Normal 2 12 3" xfId="42"/>
    <cellStyle name="Normal 2 12 3 2" xfId="67"/>
    <cellStyle name="Normal 2 2" xfId="11"/>
    <cellStyle name="Normal 2 2 2" xfId="66"/>
    <cellStyle name="Normal 2 2 3" xfId="68"/>
    <cellStyle name="Normal 2 3" xfId="76"/>
    <cellStyle name="Normal 261" xfId="39"/>
    <cellStyle name="Normal 3" xfId="10"/>
    <cellStyle name="Normal 3 2" xfId="22"/>
    <cellStyle name="Normal 4 6" xfId="73"/>
    <cellStyle name="Normal 8" xfId="7"/>
    <cellStyle name="Normal 9" xfId="18"/>
    <cellStyle name="Percent [0%]" xfId="47"/>
    <cellStyle name="Porcentagem" xfId="3" builtinId="5"/>
    <cellStyle name="Porcentagem 10" xfId="41"/>
    <cellStyle name="Porcentagem 2" xfId="14"/>
    <cellStyle name="Porcentagem 2 14" xfId="50"/>
    <cellStyle name="Porcentagem 2 2" xfId="43"/>
    <cellStyle name="Porcentagem 2 2 5" xfId="78"/>
    <cellStyle name="Porcentagem 2 3" xfId="38"/>
    <cellStyle name="Porcentagem 3" xfId="49"/>
    <cellStyle name="Porcentagem 3 5" xfId="74"/>
    <cellStyle name="Porcentagem 4" xfId="70"/>
    <cellStyle name="Porcentagem 4 4" xfId="75"/>
    <cellStyle name="Separador de milhares 2" xfId="44"/>
    <cellStyle name="Separador de milhares 2 2" xfId="57"/>
    <cellStyle name="Separador de milhares 4" xfId="45"/>
    <cellStyle name="Separador de milhares 4 2" xfId="58"/>
    <cellStyle name="Título 1 4" xfId="6"/>
    <cellStyle name="Título 2 3" xfId="9"/>
    <cellStyle name="Título 4 2" xfId="8"/>
    <cellStyle name="Título 5" xfId="71"/>
    <cellStyle name="Vírgula" xfId="2" builtinId="3"/>
    <cellStyle name="Vírgula 2" xfId="5"/>
    <cellStyle name="Vírgula 2 2" xfId="12"/>
    <cellStyle name="Vírgula 2 2 2" xfId="17"/>
    <cellStyle name="Vírgula 2 2 2 2" xfId="31"/>
    <cellStyle name="Vírgula 2 2 3" xfId="25"/>
    <cellStyle name="Vírgula 2 2 3 2" xfId="35"/>
    <cellStyle name="Vírgula 2 2 4" xfId="28"/>
    <cellStyle name="Vírgula 2 2 5" xfId="60"/>
    <cellStyle name="Vírgula 2 2 6" xfId="69"/>
    <cellStyle name="Vírgula 2 3" xfId="48"/>
    <cellStyle name="Vírgula 2 4" xfId="51"/>
    <cellStyle name="Vírgula 2 4 2" xfId="61"/>
    <cellStyle name="Vírgula 2 5" xfId="23"/>
    <cellStyle name="Vírgula 2 5 2" xfId="33"/>
    <cellStyle name="Vírgula 2 6" xfId="37"/>
    <cellStyle name="Vírgula 3" xfId="16"/>
    <cellStyle name="Vírgula 3 2" xfId="24"/>
    <cellStyle name="Vírgula 3 2 2" xfId="34"/>
    <cellStyle name="Vírgula 3 2 3" xfId="62"/>
    <cellStyle name="Vírgula 3 3" xfId="30"/>
    <cellStyle name="Vírgula 3 3 2" xfId="52"/>
    <cellStyle name="Vírgula 4" xfId="27"/>
    <cellStyle name="Vírgula 4 2" xfId="63"/>
    <cellStyle name="Vírgula 4 3" xfId="53"/>
    <cellStyle name="Vírgula 5" xfId="56"/>
    <cellStyle name="Vírgula 6" xfId="21"/>
    <cellStyle name="Vírgula 6 2" xfId="32"/>
    <cellStyle name="Vírgula 7" xfId="54"/>
    <cellStyle name="Vírgula 7 2" xfId="64"/>
    <cellStyle name="Vírgula 8" xfId="36"/>
  </cellStyles>
  <dxfs count="0"/>
  <tableStyles count="0" defaultTableStyle="TableStyleMedium2" defaultPivotStyle="PivotStyleLight16"/>
  <colors>
    <mruColors>
      <color rgb="FFFFCC99"/>
      <color rgb="FF0099CC"/>
      <color rgb="FFCCCCFF"/>
      <color rgb="FFFF9966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a-03/Projeto/2006/CRS%20616%20-%20Projeto%20Basico%20Restauracao%20-%20BR-430-030%20BA%20-%20DERBA/campo/Brumado-Sussuarana/lead/CARACT%20PAV%20EXISTEN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hzagc-fls001/usuarios/bretas/Petrolina/PETROLINA/valuation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-21-1-0006/work$/Documents%20and%20Settings/luizfelipe.tavares/Configura&#231;&#245;es%20locais/Temporary%20Internet%20Files/Content.Outlook/C677I6JQ/Fluxo%20de%20Caixa%20Or&#231;amento%202010%20v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/depto/ANALISE/EMPRESAS/TEL_SERV/Tele%20Centro%20Sul%20Participa&#231;&#245;es/Brazil%20Telecom%202001/BRP_1Q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Ziguia/Ziguia%20Engenharia%20-%20Caruso/Duque%20de%20Caxias%20-%20RJ/Produtos%20-%20Proposta%20t&#233;cnica%20e%20comercial/Dimensionamento/C&#243;pia%20de%20Modelo_Duque_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aloraserver/projetos/TELECOM/MODELS/PUBLISHED_MODELS/COL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/depto/Analise/EMPRESAS/Water/Sanepar/prjbrs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dmFin\Or&#231;amentos\2000\Bens%20Us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-21-1-0002/FS18/fs18/Master%20Or&#231;amento%202009%2014dez08%20Calcs%20v%203.0%20simulaV2%20PLENARIA%20para%20John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en&#225;rios\Macroeco\Macroeco2021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vrdfcasa01/dados/DOCUME~1/01203042/CONFIG~1/Temp/notesFFF692/Planejamento%20e%20Qualidade/Manuten&#231;&#227;o_EFVM/Vag&#245;es/GROT/GrotVag&#245;esJul_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BALHOS%2012\Estudos\Ananindeua\Dados\Setor%20de%20Desenvolvimento\Estudos\Munic&#237;pios\2004%20-%202005\Minas%20Gerais\Betim\Estudos%20BTM\Setembro%202004\Planilhas\Novos%20Servi&#231;os\Plan.%20Base%20-%20FVG%20-%20BTM%20-%2019-10-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31%20Despesas%20Antecipadas%20dez%2005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Clientes\Unipar\2002\Imobilizado%20D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ztec-my.sharepoint.com/Data/Clientes/Biosint&#233;tica/31.12.03/Administra&#231;&#227;o%20do%20JOB/Comparativo%20dez02%20x%20dez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vrdgvdpm01/AREA/Documents%20and%20Settings/01011528/Desktop/Macro%20Apresenta&#231;&#227;o/Teste%20GERROT/Meus%20documentos/aqrbv/Antigos/Planejamento%20Integrado/Composi&#231;&#227;o%20da%20Met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vrdgvdpm01/AREA/Documents%20and%20Settings/01011528/Desktop/Macro%20Apresenta&#231;&#227;o/Teste%20GERROT/WINDOWS/TEMP/Arquivos/Reuni&#227;o%2026.12.03/An&#225;lise%20da%20Lacuna%20dos%20GMR%20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01069252\CONFIG~1\Temp\notesAF924C\Estrategico\Neg&#243;cios\Diversos\Ultrasson\caminh&#245;es%20GAP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ztec-my.sharepoint.com/CUSTOS/Gest&#227;oPortoCompPE/GESEN/PdcGesen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rdenparty\Orcamento\2008\2007\Or&#231;amento_2005\Planf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.21.1.5/fs18/CUSTOS/Gest&#227;oPortoCompPE/GESEN/PdcGesen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ztec-my.sharepoint.com/DOC_EXCE/ESTATIST/E_AC_99/DEFN/FRQDFN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vrdriosa01/dados/BUDGET/0R&#199;A_2002/2002-A/BD_Budget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trabalho/Desenvolvimento%20e%20Tecnologia/Ricardo%20Penteado/Federais/Lote11/L11CustosREV2-Real/Lote11-adm%20REV2-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Remoção de Solo Mole BR-153"/>
      <sheetName val="$Conserva BR-116 RJ"/>
      <sheetName val="$Conserva BR-116 SP"/>
      <sheetName val="$Conserva BR-101 RJ"/>
      <sheetName val="$Conserva BR-101 SP"/>
    </sheetNames>
    <sheetDataSet>
      <sheetData sheetId="0" refreshError="1"/>
      <sheetData sheetId="1" refreshError="1">
        <row r="6">
          <cell r="B6">
            <v>32.307692307692307</v>
          </cell>
          <cell r="C6">
            <v>28.846153846153843</v>
          </cell>
          <cell r="D6">
            <v>14.615384615384617</v>
          </cell>
          <cell r="E6">
            <v>6.9230769230769234</v>
          </cell>
          <cell r="F6">
            <v>17.307692307692307</v>
          </cell>
          <cell r="I6">
            <v>1.68</v>
          </cell>
          <cell r="J6">
            <v>1.5</v>
          </cell>
          <cell r="K6">
            <v>0.76</v>
          </cell>
          <cell r="L6">
            <v>0.36</v>
          </cell>
          <cell r="M6">
            <v>0.9</v>
          </cell>
        </row>
        <row r="7">
          <cell r="B7" t="str">
            <v>0 - 10</v>
          </cell>
          <cell r="C7" t="str">
            <v>10 - 20</v>
          </cell>
          <cell r="D7" t="str">
            <v>20 - 40</v>
          </cell>
          <cell r="E7" t="str">
            <v>40 - 60</v>
          </cell>
          <cell r="F7" t="str">
            <v>&gt; 60</v>
          </cell>
        </row>
        <row r="8">
          <cell r="B8">
            <v>97.307692307692307</v>
          </cell>
          <cell r="C8">
            <v>2.6923076923076925</v>
          </cell>
          <cell r="D8">
            <v>0</v>
          </cell>
          <cell r="E8">
            <v>0</v>
          </cell>
          <cell r="F8">
            <v>0</v>
          </cell>
          <cell r="I8">
            <v>5.0600000000000005</v>
          </cell>
          <cell r="J8">
            <v>0.14000000000000001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0 -  10</v>
          </cell>
          <cell r="C9" t="str">
            <v>10 - 20</v>
          </cell>
          <cell r="D9" t="str">
            <v>20 - 40</v>
          </cell>
          <cell r="E9" t="str">
            <v>40 - 60</v>
          </cell>
          <cell r="F9" t="str">
            <v>&gt; 60</v>
          </cell>
        </row>
        <row r="10">
          <cell r="B10">
            <v>29.615384615384617</v>
          </cell>
          <cell r="C10">
            <v>31.538461538461537</v>
          </cell>
          <cell r="D10">
            <v>14.615384615384617</v>
          </cell>
          <cell r="E10">
            <v>6.9230769230769234</v>
          </cell>
          <cell r="F10">
            <v>17.307692307692307</v>
          </cell>
          <cell r="I10">
            <v>1.54</v>
          </cell>
          <cell r="J10">
            <v>1.6400000000000001</v>
          </cell>
          <cell r="K10">
            <v>0.76</v>
          </cell>
          <cell r="L10">
            <v>0.36</v>
          </cell>
          <cell r="M10">
            <v>0.9</v>
          </cell>
        </row>
        <row r="11">
          <cell r="B11" t="str">
            <v>0 - 10</v>
          </cell>
          <cell r="C11" t="str">
            <v>10 - 20</v>
          </cell>
          <cell r="D11" t="str">
            <v>20 - 40</v>
          </cell>
          <cell r="E11" t="str">
            <v>40 - 60</v>
          </cell>
          <cell r="F11" t="str">
            <v>&gt; 60</v>
          </cell>
        </row>
        <row r="12">
          <cell r="B12">
            <v>9.2307692307692317</v>
          </cell>
          <cell r="C12">
            <v>61.53846153846154</v>
          </cell>
          <cell r="D12">
            <v>21.153846153846153</v>
          </cell>
          <cell r="E12">
            <v>8.0769230769230766</v>
          </cell>
          <cell r="F12">
            <v>0</v>
          </cell>
          <cell r="I12">
            <v>0.48</v>
          </cell>
          <cell r="J12">
            <v>3.2</v>
          </cell>
          <cell r="K12">
            <v>1.1000000000000001</v>
          </cell>
          <cell r="L12">
            <v>0.42</v>
          </cell>
          <cell r="M12">
            <v>0</v>
          </cell>
        </row>
        <row r="13">
          <cell r="B13" t="str">
            <v>0 - 20</v>
          </cell>
          <cell r="C13" t="str">
            <v>20 - 40</v>
          </cell>
          <cell r="D13" t="str">
            <v>40 -  80</v>
          </cell>
          <cell r="E13" t="str">
            <v xml:space="preserve"> 80 - 150</v>
          </cell>
          <cell r="F13" t="str">
            <v>&gt; 150</v>
          </cell>
        </row>
        <row r="14">
          <cell r="B14">
            <v>9.2307692307692317</v>
          </cell>
          <cell r="C14">
            <v>63.84615384615384</v>
          </cell>
          <cell r="D14">
            <v>18.846153846153847</v>
          </cell>
          <cell r="E14">
            <v>8.0769230769230766</v>
          </cell>
          <cell r="F14">
            <v>0</v>
          </cell>
          <cell r="I14">
            <v>0.48</v>
          </cell>
          <cell r="J14">
            <v>3.3200000000000003</v>
          </cell>
          <cell r="K14">
            <v>0.98</v>
          </cell>
          <cell r="L14">
            <v>0.42</v>
          </cell>
          <cell r="M14">
            <v>0</v>
          </cell>
        </row>
        <row r="15">
          <cell r="B15" t="str">
            <v xml:space="preserve">  4 - 5</v>
          </cell>
          <cell r="C15" t="str">
            <v xml:space="preserve">  3 -   4</v>
          </cell>
          <cell r="D15" t="str">
            <v xml:space="preserve">  2 -   3</v>
          </cell>
          <cell r="E15" t="str">
            <v xml:space="preserve">  1 -   2</v>
          </cell>
          <cell r="F15" t="str">
            <v>0 -  1</v>
          </cell>
        </row>
        <row r="16">
          <cell r="B16">
            <v>69.230769230769226</v>
          </cell>
          <cell r="C16">
            <v>16.923076923076923</v>
          </cell>
          <cell r="D16">
            <v>13.846153846153847</v>
          </cell>
          <cell r="E16">
            <v>0</v>
          </cell>
          <cell r="F16">
            <v>0</v>
          </cell>
          <cell r="I16">
            <v>3.6</v>
          </cell>
          <cell r="J16">
            <v>0.88</v>
          </cell>
          <cell r="K16">
            <v>0.72</v>
          </cell>
          <cell r="L16">
            <v>0</v>
          </cell>
          <cell r="M16">
            <v>0</v>
          </cell>
        </row>
        <row r="17">
          <cell r="B17" t="str">
            <v>0 -  5</v>
          </cell>
          <cell r="C17" t="str">
            <v xml:space="preserve"> 5 - 10</v>
          </cell>
          <cell r="D17" t="str">
            <v>10 - 15</v>
          </cell>
          <cell r="E17" t="str">
            <v>15 - 20</v>
          </cell>
          <cell r="F17" t="str">
            <v>&gt; 20</v>
          </cell>
        </row>
        <row r="18">
          <cell r="B18">
            <v>0.76923076923076927</v>
          </cell>
          <cell r="C18">
            <v>59.615384615384613</v>
          </cell>
          <cell r="D18">
            <v>26.923076923076923</v>
          </cell>
          <cell r="E18">
            <v>12.692307692307692</v>
          </cell>
          <cell r="F18">
            <v>0</v>
          </cell>
          <cell r="I18">
            <v>0.04</v>
          </cell>
          <cell r="J18">
            <v>3.1</v>
          </cell>
          <cell r="K18">
            <v>1.4000000000000001</v>
          </cell>
          <cell r="L18">
            <v>0.66</v>
          </cell>
          <cell r="M18">
            <v>0</v>
          </cell>
        </row>
        <row r="19">
          <cell r="B19" t="str">
            <v>0 - 20</v>
          </cell>
          <cell r="C19" t="str">
            <v>20 - 40</v>
          </cell>
          <cell r="D19" t="str">
            <v>40 - 60</v>
          </cell>
          <cell r="E19" t="str">
            <v>60 - 80</v>
          </cell>
          <cell r="F19" t="str">
            <v>&gt; 80</v>
          </cell>
        </row>
        <row r="20">
          <cell r="B20">
            <v>0</v>
          </cell>
          <cell r="C20">
            <v>7.6923076923076925</v>
          </cell>
          <cell r="D20">
            <v>92.307692307692307</v>
          </cell>
          <cell r="E20">
            <v>0</v>
          </cell>
          <cell r="F20">
            <v>0</v>
          </cell>
          <cell r="I20">
            <v>0</v>
          </cell>
          <cell r="J20">
            <v>0.4</v>
          </cell>
          <cell r="K20">
            <v>4.8</v>
          </cell>
          <cell r="L20">
            <v>0</v>
          </cell>
          <cell r="M20">
            <v>0</v>
          </cell>
        </row>
        <row r="21">
          <cell r="B21" t="str">
            <v>0 - 20</v>
          </cell>
          <cell r="C21" t="str">
            <v>20 - 40</v>
          </cell>
          <cell r="D21" t="str">
            <v>40 - 80</v>
          </cell>
          <cell r="E21" t="str">
            <v>80 - 120</v>
          </cell>
          <cell r="F21" t="str">
            <v>&gt; 120</v>
          </cell>
        </row>
        <row r="22">
          <cell r="B22">
            <v>0</v>
          </cell>
          <cell r="C22">
            <v>93.07692307692308</v>
          </cell>
          <cell r="D22">
            <v>6.9230769230769234</v>
          </cell>
          <cell r="E22">
            <v>0</v>
          </cell>
          <cell r="F22">
            <v>0</v>
          </cell>
          <cell r="I22">
            <v>0</v>
          </cell>
          <cell r="J22">
            <v>4.84</v>
          </cell>
          <cell r="K22">
            <v>0.36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81.92307692307692</v>
          </cell>
          <cell r="C24">
            <v>18.076923076923077</v>
          </cell>
          <cell r="D24">
            <v>0</v>
          </cell>
          <cell r="E24">
            <v>0</v>
          </cell>
          <cell r="F24">
            <v>0</v>
          </cell>
          <cell r="I24">
            <v>4.26</v>
          </cell>
          <cell r="J24">
            <v>0.94000000000000006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36.538461538461533</v>
          </cell>
          <cell r="C26">
            <v>55.769230769230774</v>
          </cell>
          <cell r="D26">
            <v>7.6923076923076925</v>
          </cell>
          <cell r="E26">
            <v>0</v>
          </cell>
          <cell r="F26">
            <v>0</v>
          </cell>
          <cell r="I26">
            <v>1.9000000000000001</v>
          </cell>
          <cell r="J26">
            <v>2.9</v>
          </cell>
          <cell r="K26">
            <v>0.4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45.384615384615387</v>
          </cell>
          <cell r="D28">
            <v>54.615384615384613</v>
          </cell>
          <cell r="E28">
            <v>0</v>
          </cell>
          <cell r="F28">
            <v>0</v>
          </cell>
          <cell r="I28">
            <v>0</v>
          </cell>
          <cell r="J28">
            <v>2.36</v>
          </cell>
          <cell r="K28">
            <v>2.84</v>
          </cell>
          <cell r="L28">
            <v>0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 refreshError="1"/>
      <sheetData sheetId="3" refreshError="1"/>
      <sheetData sheetId="4">
        <row r="6">
          <cell r="B6">
            <v>361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  <sheetName val="#REF"/>
      <sheetName val="Contro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em e aplicação"/>
      <sheetName val="Fluxo para Conselho"/>
      <sheetName val="Graficos"/>
      <sheetName val="Fluxo de Caixa"/>
      <sheetName val="Giro "/>
      <sheetName val="AQUISIÇÕES"/>
      <sheetName val="2009"/>
      <sheetName val="Giro Aquamec"/>
      <sheetName val="Origem_e_aplic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  <sheetName val="BRP_1Q01"/>
      <sheetName val="Economias SANSYS"/>
      <sheetName val="9.1 - GERAL - Comex"/>
      <sheetName val="Constants"/>
      <sheetName val="POP cost"/>
      <sheetName val="Brazil Sovereign"/>
      <sheetName val="RBE ACT mi"/>
      <sheetName val="validaciones"/>
      <sheetName val="fluxo de caixa"/>
      <sheetName val="Ptax"/>
      <sheetName val="Apoio"/>
      <sheetName val="Painel de Controle"/>
      <sheetName val="PLQ - Recuperação Base de Quant"/>
      <sheetName val="Métricas"/>
      <sheetName val="Recape Drenos"/>
      <sheetName val="BASE DE DADOS 1"/>
      <sheetName val="CBUQ MÊS"/>
      <sheetName val="MOB-2.11"/>
      <sheetName val="Fec-2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2">
          <cell r="E12" t="str">
            <v>a=blpH(E10,"EQY_WEIGHTED_AVG_PX,PX_LAST,PX_VOLUME","1/1/1998"," ",0,TRUE,"D","C","C",TRUE,1296,4)</v>
          </cell>
          <cell r="J12" t="str">
            <v>a=blpH(J10,"EQY_WEIGHTED_AVG_PX,PX_LAST,PX_VOLUME","1/1/1998"," ",0,TRUE,"D","C","C",TRUE,1296,4)</v>
          </cell>
          <cell r="O12" t="str">
            <v>a=blpH(O10,"EQY_WEIGHTED_AVG_PX,PX_LAST,PX_VOLUME","1/1/1998"," ",0,TRUE,"D","C","C",TRUE,1296,4)</v>
          </cell>
          <cell r="T12" t="str">
            <v>a=blpH(T10,"EQY_WEIGHTED_AVG_PX,PX_LAST,PX_VOLUME","1/1/1998"," ",0,TRUE,"D","C","C",TRUE,1296,4)</v>
          </cell>
          <cell r="Y12" t="str">
            <v>a=blpH(Y10,"EQY_WEIGHTED_AVG_PX,PX_LAST,PX_VOLUME","1/1/1998"," ",0,TRUE,"D","C","C",TRUE,1296,4)</v>
          </cell>
          <cell r="AD12" t="str">
            <v>a=blpH(AD10,"EQY_WEIGHTED_AVG_PX,PX_LAST,PX_VOLUME","1/1/1998"," ",0,TRUE,"D","C","C",TRUE,1296,4)</v>
          </cell>
          <cell r="AI12" t="str">
            <v>a=blpH(AI10,"EQY_WEIGHTED_AVG_PX,PX_LAST,PX_VOLUME","1/1/1998"," ",0,TRUE,"D","C","C",TRUE,1296,4)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7">
          <cell r="E7">
            <v>0</v>
          </cell>
        </row>
      </sheetData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 &amp; Charts"/>
      <sheetName val="Tax Assumptions"/>
      <sheetName val="Caxias"/>
      <sheetName val="Nova_Folha_UTM"/>
      <sheetName val="Opex Transbordo"/>
      <sheetName val="Projeção da demanda"/>
      <sheetName val="CDR - &gt;"/>
      <sheetName val="CALCULO OPEX"/>
      <sheetName val="OPEX"/>
      <sheetName val="OPERAÇÃO_CDR"/>
      <sheetName val="AGENDA_CDR"/>
      <sheetName val="Folha_UTM"/>
      <sheetName val="Social_Charges_Memo"/>
      <sheetName val="Holidays"/>
      <sheetName val="Quadro A - Resumo"/>
      <sheetName val="Quadro 01 - Receitas"/>
      <sheetName val="Quadro 02 - Custos"/>
      <sheetName val="Quadro 03 - Investimentos"/>
      <sheetName val="Quadro 04 - Depreciação"/>
      <sheetName val="Quadro 05A - DRE"/>
      <sheetName val="Quadro 05B - FC"/>
    </sheetNames>
    <sheetDataSet>
      <sheetData sheetId="0"/>
      <sheetData sheetId="1">
        <row r="58">
          <cell r="D58">
            <v>1</v>
          </cell>
        </row>
      </sheetData>
      <sheetData sheetId="2">
        <row r="14">
          <cell r="C14">
            <v>6.4999999999999997E-3</v>
          </cell>
          <cell r="D14">
            <v>1.6500000000000001E-2</v>
          </cell>
        </row>
        <row r="15">
          <cell r="C15">
            <v>0.03</v>
          </cell>
          <cell r="D15">
            <v>7.5999999999999998E-2</v>
          </cell>
        </row>
        <row r="16">
          <cell r="C16">
            <v>0</v>
          </cell>
        </row>
        <row r="17">
          <cell r="D17">
            <v>0.2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>
            <v>44562</v>
          </cell>
        </row>
        <row r="3">
          <cell r="A3">
            <v>44620</v>
          </cell>
        </row>
        <row r="4">
          <cell r="A4">
            <v>44621</v>
          </cell>
        </row>
        <row r="5">
          <cell r="A5">
            <v>44666</v>
          </cell>
        </row>
        <row r="6">
          <cell r="A6">
            <v>44672</v>
          </cell>
        </row>
        <row r="7">
          <cell r="A7">
            <v>44682</v>
          </cell>
        </row>
        <row r="8">
          <cell r="A8">
            <v>44728</v>
          </cell>
        </row>
        <row r="9">
          <cell r="A9">
            <v>44811</v>
          </cell>
        </row>
        <row r="10">
          <cell r="A10">
            <v>44846</v>
          </cell>
        </row>
        <row r="11">
          <cell r="A11">
            <v>44867</v>
          </cell>
        </row>
        <row r="12">
          <cell r="A12">
            <v>44880</v>
          </cell>
        </row>
        <row r="13">
          <cell r="A13">
            <v>44920</v>
          </cell>
        </row>
        <row r="14">
          <cell r="A14">
            <v>44927</v>
          </cell>
        </row>
        <row r="15">
          <cell r="A15">
            <v>44977</v>
          </cell>
        </row>
        <row r="16">
          <cell r="A16">
            <v>44978</v>
          </cell>
        </row>
        <row r="17">
          <cell r="A17">
            <v>45023</v>
          </cell>
        </row>
        <row r="18">
          <cell r="A18">
            <v>45037</v>
          </cell>
        </row>
        <row r="19">
          <cell r="A19">
            <v>45047</v>
          </cell>
        </row>
        <row r="20">
          <cell r="A20">
            <v>45085</v>
          </cell>
        </row>
        <row r="21">
          <cell r="A21">
            <v>45176</v>
          </cell>
        </row>
        <row r="22">
          <cell r="A22">
            <v>45211</v>
          </cell>
        </row>
        <row r="23">
          <cell r="A23">
            <v>45232</v>
          </cell>
        </row>
        <row r="24">
          <cell r="A24">
            <v>45245</v>
          </cell>
        </row>
        <row r="25">
          <cell r="A25">
            <v>45285</v>
          </cell>
        </row>
        <row r="26">
          <cell r="A26">
            <v>45292</v>
          </cell>
        </row>
        <row r="27">
          <cell r="A27">
            <v>45334</v>
          </cell>
        </row>
        <row r="28">
          <cell r="A28">
            <v>45335</v>
          </cell>
        </row>
        <row r="29">
          <cell r="A29">
            <v>45380</v>
          </cell>
        </row>
        <row r="30">
          <cell r="A30">
            <v>45403</v>
          </cell>
        </row>
        <row r="31">
          <cell r="A31">
            <v>45413</v>
          </cell>
        </row>
        <row r="32">
          <cell r="A32">
            <v>45442</v>
          </cell>
        </row>
        <row r="33">
          <cell r="A33">
            <v>45542</v>
          </cell>
        </row>
        <row r="34">
          <cell r="A34">
            <v>45577</v>
          </cell>
        </row>
        <row r="35">
          <cell r="A35">
            <v>45598</v>
          </cell>
        </row>
        <row r="36">
          <cell r="A36">
            <v>45611</v>
          </cell>
        </row>
        <row r="37">
          <cell r="A37">
            <v>45651</v>
          </cell>
        </row>
        <row r="38">
          <cell r="A38">
            <v>45658</v>
          </cell>
        </row>
        <row r="39">
          <cell r="A39">
            <v>45719</v>
          </cell>
        </row>
        <row r="40">
          <cell r="A40">
            <v>45720</v>
          </cell>
        </row>
        <row r="41">
          <cell r="A41">
            <v>45765</v>
          </cell>
        </row>
        <row r="42">
          <cell r="A42">
            <v>45768</v>
          </cell>
        </row>
        <row r="43">
          <cell r="A43">
            <v>45778</v>
          </cell>
        </row>
        <row r="44">
          <cell r="A44">
            <v>45827</v>
          </cell>
        </row>
        <row r="45">
          <cell r="A45">
            <v>45907</v>
          </cell>
        </row>
        <row r="46">
          <cell r="A46">
            <v>45942</v>
          </cell>
        </row>
        <row r="47">
          <cell r="A47">
            <v>45963</v>
          </cell>
        </row>
        <row r="48">
          <cell r="A48">
            <v>45976</v>
          </cell>
        </row>
        <row r="49">
          <cell r="A49">
            <v>46016</v>
          </cell>
        </row>
        <row r="50">
          <cell r="A50">
            <v>46023</v>
          </cell>
        </row>
        <row r="51">
          <cell r="A51">
            <v>46069</v>
          </cell>
        </row>
        <row r="52">
          <cell r="A52">
            <v>46070</v>
          </cell>
        </row>
        <row r="53">
          <cell r="A53">
            <v>46115</v>
          </cell>
        </row>
        <row r="54">
          <cell r="A54">
            <v>46133</v>
          </cell>
        </row>
        <row r="55">
          <cell r="A55">
            <v>46143</v>
          </cell>
        </row>
        <row r="56">
          <cell r="A56">
            <v>46177</v>
          </cell>
        </row>
        <row r="57">
          <cell r="A57">
            <v>46272</v>
          </cell>
        </row>
        <row r="58">
          <cell r="A58">
            <v>46307</v>
          </cell>
        </row>
        <row r="59">
          <cell r="A59">
            <v>46328</v>
          </cell>
        </row>
        <row r="60">
          <cell r="A60">
            <v>46341</v>
          </cell>
        </row>
        <row r="61">
          <cell r="A61">
            <v>46381</v>
          </cell>
        </row>
        <row r="62">
          <cell r="A62">
            <v>46388</v>
          </cell>
        </row>
        <row r="63">
          <cell r="A63">
            <v>46426</v>
          </cell>
        </row>
        <row r="64">
          <cell r="A64">
            <v>46427</v>
          </cell>
        </row>
        <row r="65">
          <cell r="A65">
            <v>46472</v>
          </cell>
        </row>
        <row r="66">
          <cell r="A66">
            <v>46498</v>
          </cell>
        </row>
        <row r="67">
          <cell r="A67">
            <v>46508</v>
          </cell>
        </row>
        <row r="68">
          <cell r="A68">
            <v>46534</v>
          </cell>
        </row>
        <row r="69">
          <cell r="A69">
            <v>46637</v>
          </cell>
        </row>
        <row r="70">
          <cell r="A70">
            <v>46672</v>
          </cell>
        </row>
        <row r="71">
          <cell r="A71">
            <v>46693</v>
          </cell>
        </row>
        <row r="72">
          <cell r="A72">
            <v>46706</v>
          </cell>
        </row>
        <row r="73">
          <cell r="A73">
            <v>46746</v>
          </cell>
        </row>
        <row r="74">
          <cell r="A74">
            <v>46753</v>
          </cell>
        </row>
        <row r="75">
          <cell r="A75">
            <v>46811</v>
          </cell>
        </row>
        <row r="76">
          <cell r="A76">
            <v>46812</v>
          </cell>
        </row>
        <row r="77">
          <cell r="A77">
            <v>46857</v>
          </cell>
        </row>
        <row r="78">
          <cell r="A78">
            <v>46864</v>
          </cell>
        </row>
        <row r="79">
          <cell r="A79">
            <v>46874</v>
          </cell>
        </row>
        <row r="80">
          <cell r="A80">
            <v>46919</v>
          </cell>
        </row>
        <row r="81">
          <cell r="A81">
            <v>47003</v>
          </cell>
        </row>
        <row r="82">
          <cell r="A82">
            <v>47038</v>
          </cell>
        </row>
        <row r="83">
          <cell r="A83">
            <v>47059</v>
          </cell>
        </row>
        <row r="84">
          <cell r="A84">
            <v>47072</v>
          </cell>
        </row>
        <row r="85">
          <cell r="A85">
            <v>47112</v>
          </cell>
        </row>
        <row r="86">
          <cell r="A86">
            <v>47119</v>
          </cell>
        </row>
        <row r="87">
          <cell r="A87">
            <v>47161</v>
          </cell>
        </row>
        <row r="88">
          <cell r="A88">
            <v>47162</v>
          </cell>
        </row>
        <row r="89">
          <cell r="A89">
            <v>47207</v>
          </cell>
        </row>
        <row r="90">
          <cell r="A90">
            <v>47229</v>
          </cell>
        </row>
        <row r="91">
          <cell r="A91">
            <v>47239</v>
          </cell>
        </row>
        <row r="92">
          <cell r="A92">
            <v>47269</v>
          </cell>
        </row>
        <row r="93">
          <cell r="A93">
            <v>47368</v>
          </cell>
        </row>
        <row r="94">
          <cell r="A94">
            <v>47403</v>
          </cell>
        </row>
        <row r="95">
          <cell r="A95">
            <v>47424</v>
          </cell>
        </row>
        <row r="96">
          <cell r="A96">
            <v>47437</v>
          </cell>
        </row>
        <row r="97">
          <cell r="A97">
            <v>47477</v>
          </cell>
        </row>
        <row r="98">
          <cell r="A98">
            <v>47484</v>
          </cell>
        </row>
        <row r="99">
          <cell r="A99">
            <v>47546</v>
          </cell>
        </row>
        <row r="100">
          <cell r="A100">
            <v>47547</v>
          </cell>
        </row>
        <row r="101">
          <cell r="A101">
            <v>47592</v>
          </cell>
        </row>
        <row r="102">
          <cell r="A102">
            <v>47594</v>
          </cell>
        </row>
        <row r="103">
          <cell r="A103">
            <v>47604</v>
          </cell>
        </row>
        <row r="104">
          <cell r="A104">
            <v>47654</v>
          </cell>
        </row>
        <row r="105">
          <cell r="A105">
            <v>47733</v>
          </cell>
        </row>
        <row r="106">
          <cell r="A106">
            <v>47768</v>
          </cell>
        </row>
        <row r="107">
          <cell r="A107">
            <v>47789</v>
          </cell>
        </row>
        <row r="108">
          <cell r="A108">
            <v>47802</v>
          </cell>
        </row>
        <row r="109">
          <cell r="A109">
            <v>47842</v>
          </cell>
        </row>
        <row r="110">
          <cell r="A110">
            <v>47849</v>
          </cell>
        </row>
        <row r="111">
          <cell r="A111">
            <v>47903</v>
          </cell>
        </row>
        <row r="112">
          <cell r="A112">
            <v>47904</v>
          </cell>
        </row>
        <row r="113">
          <cell r="A113">
            <v>47949</v>
          </cell>
        </row>
        <row r="114">
          <cell r="A114">
            <v>47959</v>
          </cell>
        </row>
        <row r="115">
          <cell r="A115">
            <v>47969</v>
          </cell>
        </row>
        <row r="116">
          <cell r="A116">
            <v>48011</v>
          </cell>
        </row>
        <row r="117">
          <cell r="A117">
            <v>48098</v>
          </cell>
        </row>
        <row r="118">
          <cell r="A118">
            <v>48133</v>
          </cell>
        </row>
        <row r="119">
          <cell r="A119">
            <v>48154</v>
          </cell>
        </row>
        <row r="120">
          <cell r="A120">
            <v>48167</v>
          </cell>
        </row>
        <row r="121">
          <cell r="A121">
            <v>48207</v>
          </cell>
        </row>
        <row r="122">
          <cell r="A122">
            <v>48214</v>
          </cell>
        </row>
        <row r="123">
          <cell r="A123">
            <v>48253</v>
          </cell>
        </row>
        <row r="124">
          <cell r="A124">
            <v>48254</v>
          </cell>
        </row>
        <row r="125">
          <cell r="A125">
            <v>48299</v>
          </cell>
        </row>
        <row r="126">
          <cell r="A126">
            <v>48325</v>
          </cell>
        </row>
        <row r="127">
          <cell r="A127">
            <v>48335</v>
          </cell>
        </row>
        <row r="128">
          <cell r="A128">
            <v>48361</v>
          </cell>
        </row>
        <row r="129">
          <cell r="A129">
            <v>48464</v>
          </cell>
        </row>
        <row r="130">
          <cell r="A130">
            <v>48499</v>
          </cell>
        </row>
        <row r="131">
          <cell r="A131">
            <v>48520</v>
          </cell>
        </row>
        <row r="132">
          <cell r="A132">
            <v>48533</v>
          </cell>
        </row>
        <row r="133">
          <cell r="A133">
            <v>48573</v>
          </cell>
        </row>
        <row r="134">
          <cell r="A134">
            <v>48580</v>
          </cell>
        </row>
        <row r="135">
          <cell r="A135">
            <v>48638</v>
          </cell>
        </row>
        <row r="136">
          <cell r="A136">
            <v>48639</v>
          </cell>
        </row>
        <row r="137">
          <cell r="A137">
            <v>48684</v>
          </cell>
        </row>
        <row r="138">
          <cell r="A138">
            <v>48690</v>
          </cell>
        </row>
        <row r="139">
          <cell r="A139">
            <v>48700</v>
          </cell>
        </row>
        <row r="140">
          <cell r="A140">
            <v>48746</v>
          </cell>
        </row>
        <row r="141">
          <cell r="A141">
            <v>48829</v>
          </cell>
        </row>
        <row r="142">
          <cell r="A142">
            <v>48864</v>
          </cell>
        </row>
        <row r="143">
          <cell r="A143">
            <v>48885</v>
          </cell>
        </row>
        <row r="144">
          <cell r="A144">
            <v>48898</v>
          </cell>
        </row>
        <row r="145">
          <cell r="A145">
            <v>48938</v>
          </cell>
        </row>
        <row r="146">
          <cell r="A146">
            <v>48945</v>
          </cell>
        </row>
        <row r="147">
          <cell r="A147">
            <v>48995</v>
          </cell>
        </row>
        <row r="148">
          <cell r="A148">
            <v>48996</v>
          </cell>
        </row>
        <row r="149">
          <cell r="A149">
            <v>49041</v>
          </cell>
        </row>
        <row r="150">
          <cell r="A150">
            <v>49055</v>
          </cell>
        </row>
        <row r="151">
          <cell r="A151">
            <v>49065</v>
          </cell>
        </row>
        <row r="152">
          <cell r="A152">
            <v>49103</v>
          </cell>
        </row>
        <row r="153">
          <cell r="A153">
            <v>49194</v>
          </cell>
        </row>
        <row r="154">
          <cell r="A154">
            <v>49229</v>
          </cell>
        </row>
        <row r="155">
          <cell r="A155">
            <v>49250</v>
          </cell>
        </row>
        <row r="156">
          <cell r="A156">
            <v>49263</v>
          </cell>
        </row>
        <row r="157">
          <cell r="A157">
            <v>49303</v>
          </cell>
        </row>
        <row r="158">
          <cell r="A158">
            <v>49310</v>
          </cell>
        </row>
        <row r="159">
          <cell r="A159">
            <v>49345</v>
          </cell>
        </row>
        <row r="160">
          <cell r="A160">
            <v>49346</v>
          </cell>
        </row>
        <row r="161">
          <cell r="A161">
            <v>49391</v>
          </cell>
        </row>
        <row r="162">
          <cell r="A162">
            <v>49420</v>
          </cell>
        </row>
        <row r="163">
          <cell r="A163">
            <v>49430</v>
          </cell>
        </row>
        <row r="164">
          <cell r="A164">
            <v>49453</v>
          </cell>
        </row>
        <row r="165">
          <cell r="A165">
            <v>49559</v>
          </cell>
        </row>
        <row r="166">
          <cell r="A166">
            <v>49594</v>
          </cell>
        </row>
        <row r="167">
          <cell r="A167">
            <v>49615</v>
          </cell>
        </row>
        <row r="168">
          <cell r="A168">
            <v>49628</v>
          </cell>
        </row>
        <row r="169">
          <cell r="A169">
            <v>49668</v>
          </cell>
        </row>
        <row r="170">
          <cell r="A170">
            <v>49675</v>
          </cell>
        </row>
        <row r="171">
          <cell r="A171">
            <v>49730</v>
          </cell>
        </row>
        <row r="172">
          <cell r="A172">
            <v>49731</v>
          </cell>
        </row>
        <row r="173">
          <cell r="A173">
            <v>49776</v>
          </cell>
        </row>
        <row r="174">
          <cell r="A174">
            <v>49786</v>
          </cell>
        </row>
        <row r="175">
          <cell r="A175">
            <v>49796</v>
          </cell>
        </row>
        <row r="176">
          <cell r="A176">
            <v>49838</v>
          </cell>
        </row>
        <row r="177">
          <cell r="A177">
            <v>49925</v>
          </cell>
        </row>
        <row r="178">
          <cell r="A178">
            <v>49960</v>
          </cell>
        </row>
        <row r="179">
          <cell r="A179">
            <v>49981</v>
          </cell>
        </row>
        <row r="180">
          <cell r="A180">
            <v>49994</v>
          </cell>
        </row>
        <row r="181">
          <cell r="A181">
            <v>50034</v>
          </cell>
        </row>
        <row r="182">
          <cell r="A182">
            <v>50041</v>
          </cell>
        </row>
        <row r="183">
          <cell r="A183">
            <v>50087</v>
          </cell>
        </row>
        <row r="184">
          <cell r="A184">
            <v>50088</v>
          </cell>
        </row>
        <row r="185">
          <cell r="A185">
            <v>50133</v>
          </cell>
        </row>
        <row r="186">
          <cell r="A186">
            <v>50151</v>
          </cell>
        </row>
        <row r="187">
          <cell r="A187">
            <v>50161</v>
          </cell>
        </row>
        <row r="188">
          <cell r="A188">
            <v>50195</v>
          </cell>
        </row>
        <row r="189">
          <cell r="A189">
            <v>50290</v>
          </cell>
        </row>
        <row r="190">
          <cell r="A190">
            <v>50325</v>
          </cell>
        </row>
        <row r="191">
          <cell r="A191">
            <v>50346</v>
          </cell>
        </row>
        <row r="192">
          <cell r="A192">
            <v>50359</v>
          </cell>
        </row>
        <row r="193">
          <cell r="A193">
            <v>50399</v>
          </cell>
        </row>
        <row r="194">
          <cell r="A194">
            <v>50406</v>
          </cell>
        </row>
        <row r="195">
          <cell r="A195">
            <v>50472</v>
          </cell>
        </row>
        <row r="196">
          <cell r="A196">
            <v>50473</v>
          </cell>
        </row>
        <row r="197">
          <cell r="A197">
            <v>50516</v>
          </cell>
        </row>
        <row r="198">
          <cell r="A198">
            <v>50518</v>
          </cell>
        </row>
        <row r="199">
          <cell r="A199">
            <v>50526</v>
          </cell>
        </row>
        <row r="200">
          <cell r="A200">
            <v>50580</v>
          </cell>
        </row>
        <row r="201">
          <cell r="A201">
            <v>50655</v>
          </cell>
        </row>
        <row r="202">
          <cell r="A202">
            <v>50690</v>
          </cell>
        </row>
        <row r="203">
          <cell r="A203">
            <v>50711</v>
          </cell>
        </row>
        <row r="204">
          <cell r="A204">
            <v>50724</v>
          </cell>
        </row>
        <row r="205">
          <cell r="A205">
            <v>50764</v>
          </cell>
        </row>
        <row r="206">
          <cell r="A206">
            <v>50771</v>
          </cell>
        </row>
        <row r="207">
          <cell r="A207">
            <v>50822</v>
          </cell>
        </row>
        <row r="208">
          <cell r="A208">
            <v>50823</v>
          </cell>
        </row>
        <row r="209">
          <cell r="A209">
            <v>50868</v>
          </cell>
        </row>
        <row r="210">
          <cell r="A210">
            <v>50881</v>
          </cell>
        </row>
        <row r="211">
          <cell r="A211">
            <v>50891</v>
          </cell>
        </row>
        <row r="212">
          <cell r="A212">
            <v>50930</v>
          </cell>
        </row>
        <row r="213">
          <cell r="A213">
            <v>51020</v>
          </cell>
        </row>
        <row r="214">
          <cell r="A214">
            <v>51055</v>
          </cell>
        </row>
        <row r="215">
          <cell r="A215">
            <v>51076</v>
          </cell>
        </row>
        <row r="216">
          <cell r="A216">
            <v>51089</v>
          </cell>
        </row>
        <row r="217">
          <cell r="A217">
            <v>51129</v>
          </cell>
        </row>
        <row r="218">
          <cell r="A218">
            <v>51136</v>
          </cell>
        </row>
        <row r="219">
          <cell r="A219">
            <v>51179</v>
          </cell>
        </row>
        <row r="220">
          <cell r="A220">
            <v>51180</v>
          </cell>
        </row>
        <row r="221">
          <cell r="A221">
            <v>51225</v>
          </cell>
        </row>
        <row r="222">
          <cell r="A222">
            <v>51247</v>
          </cell>
        </row>
        <row r="223">
          <cell r="A223">
            <v>51257</v>
          </cell>
        </row>
        <row r="224">
          <cell r="A224">
            <v>51287</v>
          </cell>
        </row>
        <row r="225">
          <cell r="A225">
            <v>51386</v>
          </cell>
        </row>
        <row r="226">
          <cell r="A226">
            <v>51421</v>
          </cell>
        </row>
        <row r="227">
          <cell r="A227">
            <v>51442</v>
          </cell>
        </row>
        <row r="228">
          <cell r="A228">
            <v>51455</v>
          </cell>
        </row>
        <row r="229">
          <cell r="A229">
            <v>51495</v>
          </cell>
        </row>
        <row r="230">
          <cell r="A230">
            <v>51502</v>
          </cell>
        </row>
        <row r="231">
          <cell r="A231">
            <v>51564</v>
          </cell>
        </row>
        <row r="232">
          <cell r="A232">
            <v>51565</v>
          </cell>
        </row>
        <row r="233">
          <cell r="A233">
            <v>51610</v>
          </cell>
        </row>
        <row r="234">
          <cell r="A234">
            <v>51612</v>
          </cell>
        </row>
        <row r="235">
          <cell r="A235">
            <v>51622</v>
          </cell>
        </row>
        <row r="236">
          <cell r="A236">
            <v>51672</v>
          </cell>
        </row>
        <row r="237">
          <cell r="A237">
            <v>51751</v>
          </cell>
        </row>
        <row r="238">
          <cell r="A238">
            <v>51786</v>
          </cell>
        </row>
        <row r="239">
          <cell r="A239">
            <v>51807</v>
          </cell>
        </row>
        <row r="240">
          <cell r="A240">
            <v>51820</v>
          </cell>
        </row>
        <row r="241">
          <cell r="A241">
            <v>51860</v>
          </cell>
        </row>
        <row r="242">
          <cell r="A242">
            <v>51867</v>
          </cell>
        </row>
        <row r="243">
          <cell r="A243">
            <v>51914</v>
          </cell>
        </row>
        <row r="244">
          <cell r="A244">
            <v>51915</v>
          </cell>
        </row>
        <row r="245">
          <cell r="A245">
            <v>51960</v>
          </cell>
        </row>
        <row r="246">
          <cell r="A246">
            <v>51977</v>
          </cell>
        </row>
        <row r="247">
          <cell r="A247">
            <v>51987</v>
          </cell>
        </row>
        <row r="248">
          <cell r="A248">
            <v>52022</v>
          </cell>
        </row>
        <row r="249">
          <cell r="A249">
            <v>52116</v>
          </cell>
        </row>
        <row r="250">
          <cell r="A250">
            <v>52151</v>
          </cell>
        </row>
        <row r="251">
          <cell r="A251">
            <v>52172</v>
          </cell>
        </row>
        <row r="252">
          <cell r="A252">
            <v>52185</v>
          </cell>
        </row>
        <row r="253">
          <cell r="A253">
            <v>52225</v>
          </cell>
        </row>
        <row r="254">
          <cell r="A254">
            <v>52232</v>
          </cell>
        </row>
        <row r="255">
          <cell r="A255">
            <v>52271</v>
          </cell>
        </row>
        <row r="256">
          <cell r="A256">
            <v>52272</v>
          </cell>
        </row>
        <row r="257">
          <cell r="A257">
            <v>52317</v>
          </cell>
        </row>
        <row r="258">
          <cell r="A258">
            <v>52342</v>
          </cell>
        </row>
        <row r="259">
          <cell r="A259">
            <v>52352</v>
          </cell>
        </row>
        <row r="260">
          <cell r="A260">
            <v>52379</v>
          </cell>
        </row>
        <row r="261">
          <cell r="A261">
            <v>52481</v>
          </cell>
        </row>
        <row r="262">
          <cell r="A262">
            <v>52516</v>
          </cell>
        </row>
        <row r="263">
          <cell r="A263">
            <v>52537</v>
          </cell>
        </row>
        <row r="264">
          <cell r="A264">
            <v>52550</v>
          </cell>
        </row>
        <row r="265">
          <cell r="A265">
            <v>52590</v>
          </cell>
        </row>
        <row r="266">
          <cell r="A266">
            <v>52597</v>
          </cell>
        </row>
        <row r="267">
          <cell r="A267">
            <v>52656</v>
          </cell>
        </row>
        <row r="268">
          <cell r="A268">
            <v>52657</v>
          </cell>
        </row>
        <row r="269">
          <cell r="A269">
            <v>52702</v>
          </cell>
        </row>
        <row r="270">
          <cell r="A270">
            <v>52708</v>
          </cell>
        </row>
        <row r="271">
          <cell r="A271">
            <v>52718</v>
          </cell>
        </row>
        <row r="272">
          <cell r="A272">
            <v>52764</v>
          </cell>
        </row>
        <row r="273">
          <cell r="A273">
            <v>52847</v>
          </cell>
        </row>
        <row r="274">
          <cell r="A274">
            <v>52882</v>
          </cell>
        </row>
        <row r="275">
          <cell r="A275">
            <v>52903</v>
          </cell>
        </row>
        <row r="276">
          <cell r="A276">
            <v>52916</v>
          </cell>
        </row>
        <row r="277">
          <cell r="A277">
            <v>52956</v>
          </cell>
        </row>
        <row r="278">
          <cell r="A278">
            <v>52963</v>
          </cell>
        </row>
        <row r="279">
          <cell r="A279">
            <v>53013</v>
          </cell>
        </row>
        <row r="280">
          <cell r="A280">
            <v>53014</v>
          </cell>
        </row>
        <row r="281">
          <cell r="A281">
            <v>53059</v>
          </cell>
        </row>
        <row r="282">
          <cell r="A282">
            <v>53073</v>
          </cell>
        </row>
        <row r="283">
          <cell r="A283">
            <v>53083</v>
          </cell>
        </row>
        <row r="284">
          <cell r="A284">
            <v>53121</v>
          </cell>
        </row>
        <row r="285">
          <cell r="A285">
            <v>53212</v>
          </cell>
        </row>
        <row r="286">
          <cell r="A286">
            <v>53247</v>
          </cell>
        </row>
        <row r="287">
          <cell r="A287">
            <v>53268</v>
          </cell>
        </row>
        <row r="288">
          <cell r="A288">
            <v>53281</v>
          </cell>
        </row>
        <row r="289">
          <cell r="A289">
            <v>53321</v>
          </cell>
        </row>
        <row r="290">
          <cell r="A290">
            <v>53328</v>
          </cell>
        </row>
        <row r="291">
          <cell r="A291">
            <v>53363</v>
          </cell>
        </row>
        <row r="292">
          <cell r="A292">
            <v>53364</v>
          </cell>
        </row>
        <row r="293">
          <cell r="A293">
            <v>53409</v>
          </cell>
        </row>
        <row r="294">
          <cell r="A294">
            <v>53438</v>
          </cell>
        </row>
        <row r="295">
          <cell r="A295">
            <v>53448</v>
          </cell>
        </row>
        <row r="296">
          <cell r="A296">
            <v>53471</v>
          </cell>
        </row>
        <row r="297">
          <cell r="A297">
            <v>53577</v>
          </cell>
        </row>
        <row r="298">
          <cell r="A298">
            <v>53612</v>
          </cell>
        </row>
        <row r="299">
          <cell r="A299">
            <v>53633</v>
          </cell>
        </row>
        <row r="300">
          <cell r="A300">
            <v>53646</v>
          </cell>
        </row>
        <row r="301">
          <cell r="A301">
            <v>53686</v>
          </cell>
        </row>
        <row r="302">
          <cell r="A302">
            <v>53693</v>
          </cell>
        </row>
        <row r="303">
          <cell r="A303">
            <v>53748</v>
          </cell>
        </row>
        <row r="304">
          <cell r="A304">
            <v>53749</v>
          </cell>
        </row>
        <row r="305">
          <cell r="A305">
            <v>53794</v>
          </cell>
        </row>
        <row r="306">
          <cell r="A306">
            <v>53803</v>
          </cell>
        </row>
        <row r="307">
          <cell r="A307">
            <v>53813</v>
          </cell>
        </row>
        <row r="308">
          <cell r="A308">
            <v>53856</v>
          </cell>
        </row>
        <row r="309">
          <cell r="A309">
            <v>53942</v>
          </cell>
        </row>
        <row r="310">
          <cell r="A310">
            <v>53977</v>
          </cell>
        </row>
        <row r="311">
          <cell r="A311">
            <v>53998</v>
          </cell>
        </row>
        <row r="312">
          <cell r="A312">
            <v>54011</v>
          </cell>
        </row>
        <row r="313">
          <cell r="A313">
            <v>54051</v>
          </cell>
        </row>
        <row r="314">
          <cell r="A314">
            <v>54058</v>
          </cell>
        </row>
        <row r="315">
          <cell r="A315">
            <v>54105</v>
          </cell>
        </row>
        <row r="316">
          <cell r="A316">
            <v>54106</v>
          </cell>
        </row>
        <row r="317">
          <cell r="A317">
            <v>54151</v>
          </cell>
        </row>
        <row r="318">
          <cell r="A318">
            <v>54169</v>
          </cell>
        </row>
        <row r="319">
          <cell r="A319">
            <v>54179</v>
          </cell>
        </row>
        <row r="320">
          <cell r="A320">
            <v>54213</v>
          </cell>
        </row>
        <row r="321">
          <cell r="A321">
            <v>54308</v>
          </cell>
        </row>
        <row r="322">
          <cell r="A322">
            <v>54343</v>
          </cell>
        </row>
        <row r="323">
          <cell r="A323">
            <v>54364</v>
          </cell>
        </row>
        <row r="324">
          <cell r="A324">
            <v>54377</v>
          </cell>
        </row>
        <row r="325">
          <cell r="A325">
            <v>54417</v>
          </cell>
        </row>
        <row r="326">
          <cell r="A326">
            <v>54424</v>
          </cell>
        </row>
        <row r="327">
          <cell r="A327">
            <v>54483</v>
          </cell>
        </row>
        <row r="328">
          <cell r="A328">
            <v>54484</v>
          </cell>
        </row>
        <row r="329">
          <cell r="A329">
            <v>54529</v>
          </cell>
        </row>
        <row r="330">
          <cell r="A330">
            <v>54534</v>
          </cell>
        </row>
        <row r="331">
          <cell r="A331">
            <v>54544</v>
          </cell>
        </row>
        <row r="332">
          <cell r="A332">
            <v>54591</v>
          </cell>
        </row>
        <row r="333">
          <cell r="A333">
            <v>54673</v>
          </cell>
        </row>
        <row r="334">
          <cell r="A334">
            <v>54708</v>
          </cell>
        </row>
        <row r="335">
          <cell r="A335">
            <v>54729</v>
          </cell>
        </row>
        <row r="336">
          <cell r="A336">
            <v>54742</v>
          </cell>
        </row>
        <row r="337">
          <cell r="A337">
            <v>54782</v>
          </cell>
        </row>
        <row r="338">
          <cell r="A338">
            <v>54789</v>
          </cell>
        </row>
        <row r="339">
          <cell r="A339">
            <v>54840</v>
          </cell>
        </row>
        <row r="340">
          <cell r="A340">
            <v>54841</v>
          </cell>
        </row>
        <row r="341">
          <cell r="A341">
            <v>54886</v>
          </cell>
        </row>
        <row r="342">
          <cell r="A342">
            <v>54899</v>
          </cell>
        </row>
        <row r="343">
          <cell r="A343">
            <v>54909</v>
          </cell>
        </row>
        <row r="344">
          <cell r="A344">
            <v>54948</v>
          </cell>
        </row>
        <row r="345">
          <cell r="A345">
            <v>55038</v>
          </cell>
        </row>
        <row r="346">
          <cell r="A346">
            <v>55073</v>
          </cell>
        </row>
        <row r="347">
          <cell r="A347">
            <v>55094</v>
          </cell>
        </row>
        <row r="348">
          <cell r="A348">
            <v>55107</v>
          </cell>
        </row>
        <row r="349">
          <cell r="A349">
            <v>55147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TERIM"/>
      <sheetName val="GBD"/>
      <sheetName val="statistic"/>
      <sheetName val="Forecasts_VDF"/>
      <sheetName val="HIST"/>
      <sheetName val="COLT"/>
      <sheetName val="Composições"/>
      <sheetName val="Insumos"/>
      <sheetName val="Serviços"/>
      <sheetName val="market"/>
      <sheetName val="Parameters"/>
      <sheetName val="RELATA"/>
      <sheetName val="orçamento- adutora  sao jose"/>
      <sheetName val="Premissas"/>
      <sheetName val="BOM"/>
      <sheetName val="CAM"/>
      <sheetName val="PEN"/>
      <sheetName val="SFS"/>
      <sheetName val="DCF"/>
      <sheetName val="Critério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"/>
      <sheetName val="Data"/>
      <sheetName val="RELATA antigo"/>
      <sheetName val="market"/>
      <sheetName val="DADOS FORNECEDORES"/>
      <sheetName val="CONSSID12-96"/>
      <sheetName val="2013"/>
      <sheetName val="1. Instellingen"/>
      <sheetName val="SUBCONTRATOS"/>
      <sheetName val="Base IBGE"/>
      <sheetName val="Ajuste da Curva POP."/>
      <sheetName val="Demanda Água"/>
      <sheetName val="Ligação de Água"/>
      <sheetName val="Demanda de Esgoto"/>
      <sheetName val="Ligação de Esgoto"/>
      <sheetName val="BACKUP PLAN ORÇAMENTO"/>
    </sheetNames>
    <sheetDataSet>
      <sheetData sheetId="0"/>
      <sheetData sheetId="1"/>
      <sheetData sheetId="2"/>
      <sheetData sheetId="3"/>
      <sheetData sheetId="4" refreshError="1">
        <row r="161">
          <cell r="Z161">
            <v>-1255.8879413952952</v>
          </cell>
        </row>
        <row r="166">
          <cell r="Z166">
            <v>-2.0120103106201701E-2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 Uso"/>
      <sheetName val="Dif criterios amort s-nl"/>
      <sheetName val="Plan3"/>
      <sheetName val="#REF"/>
      <sheetName val="Eco-Fin"/>
      <sheetName val="CONSSID12-96"/>
      <sheetName val="fluxo de caixa"/>
      <sheetName val="Eco_Fin"/>
      <sheetName val="CONSSID12_96"/>
      <sheetName val="Receitas"/>
      <sheetName val="IBGE"/>
      <sheetName val="fluxo_de_caixa"/>
      <sheetName val="Bens_Uso"/>
      <sheetName val="Dif_criterios_amort_s-nl"/>
      <sheetName val="REL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Reais"/>
      <sheetName val="Apoio"/>
      <sheetName val="Valores Nominais"/>
      <sheetName val="POP por cc"/>
    </sheetNames>
    <sheetDataSet>
      <sheetData sheetId="0" refreshError="1"/>
      <sheetData sheetId="1" refreshError="1">
        <row r="5">
          <cell r="D5">
            <v>1.9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 "/>
      <sheetName val="disclaimer"/>
      <sheetName val="Anual"/>
      <sheetName val="Annual"/>
      <sheetName val="Anual_Esp"/>
      <sheetName val="LATAM"/>
      <sheetName val="LATAM "/>
      <sheetName val="LATAM_Esp"/>
      <sheetName val="Trimestral"/>
      <sheetName val="Quarterly"/>
      <sheetName val="Trimestral_Esp"/>
      <sheetName val="Mensal"/>
      <sheetName val="Monthly"/>
      <sheetName val="Mensal_Esp"/>
      <sheetName val="Resumo"/>
      <sheetName val="Summary"/>
      <sheetName val="Resumo_Esp"/>
      <sheetName val="OPERACIONAL"/>
      <sheetName val="Macroeco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ocio-Manutenção"/>
      <sheetName val="FLUXO_MINÉRIO"/>
      <sheetName val="FLUXO_C.GERAL"/>
      <sheetName val="Gerrot-Mant EFVM"/>
      <sheetName val="Check List- Gerrot"/>
      <sheetName val="PAGAVAG"/>
      <sheetName val="QLP"/>
      <sheetName val="Just HE"/>
      <sheetName val="acidenteSPT"/>
      <sheetName val="LC320"/>
      <sheetName val="ENGATE"/>
      <sheetName val="FREIO AGARRADO"/>
      <sheetName val="CASTANHAS SUBST"/>
      <sheetName val="VAGÕES CORRIG DDV "/>
      <sheetName val="GrotVagõesJul_03"/>
      <sheetName val="Check List_ Gerrot"/>
      <sheetName val="Dados"/>
    </sheetNames>
    <definedNames>
      <definedName name="w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sumo Geral"/>
      <sheetName val="1-Coleta Dom-Varr-Seletiva"/>
      <sheetName val="3- Coleta RSS"/>
      <sheetName val="2- Varrição Man.- Imp. de Cesto"/>
      <sheetName val="5- Equipe Serv. Diversos"/>
      <sheetName val="6-Cap. Mecanizada"/>
      <sheetName val="7- Usina de Compostagem"/>
      <sheetName val="7- Usina de Triagem"/>
      <sheetName val="8- Unid. Rec. de Entulho"/>
      <sheetName val="4- Tratam. RSS"/>
      <sheetName val="9- Inst. op. Novo Aterro"/>
      <sheetName val="10- Lavagem Vias Públicas"/>
      <sheetName val="11- Campanha Educ. Ambiental"/>
      <sheetName val="13-Operação Atual Aterro"/>
      <sheetName val="ANALISE MÃO DE OBRA"/>
      <sheetName val="ANALISE VEICULOS-EQUIPAMENTOS"/>
      <sheetName val="1-Coleta Dom.Com"/>
      <sheetName val="3-Coleta Dif. Acesso"/>
      <sheetName val="5- Coleta RSS Públic (1)"/>
      <sheetName val="5- Coleta RSS Privad (2)"/>
      <sheetName val="12- Manut. áreas verdes"/>
      <sheetName val="13- Poda de Árvores"/>
      <sheetName val=" Limp. Manual BL"/>
      <sheetName val="11- Coleta Man.Mec de Lograd"/>
      <sheetName val="Despesas Indiretas"/>
      <sheetName val="Mão-de -obra RESUMO"/>
      <sheetName val="Veíc. e Equip. RESUMO "/>
      <sheetName val="3-Veíc. e Equip."/>
      <sheetName val="5-Parâmetros"/>
      <sheetName val="2-Mão-de -obra"/>
      <sheetName val="4-Uniformes"/>
      <sheetName val="1-Base"/>
      <sheetName val="2a-Encar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esas Antecipadas"/>
      <sheetName val="XREF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Tickmarks "/>
      <sheetName val="Lead"/>
      <sheetName val="ATIVO"/>
      <sheetName val="Mapas de Movimentação"/>
      <sheetName val="Pas Juros e V.M.C."/>
      <sheetName val="AA-10(Op.63)"/>
      <sheetName val="circularização"/>
      <sheetName val="Variação Cambial"/>
      <sheetName val="Depreciação"/>
      <sheetName val="Versao 1b ($=R$2,13)"/>
      <sheetName val="Consolidado_1999"/>
      <sheetName val="Balanço"/>
      <sheetName val="Assfin"/>
      <sheetName val="BP"/>
      <sheetName val="DRE"/>
      <sheetName val="Mapa 31.08.02"/>
      <sheetName val=" SC grains"/>
      <sheetName val="Reconciliações Setembro"/>
      <sheetName val="PAS Despesa pessoal"/>
      <sheetName val="DRE consolidada 09_03"/>
      <sheetName val="tabela"/>
      <sheetName val="integral"/>
      <sheetName val="Lead2"/>
      <sheetName val="FLUXO_ENDIVIDAMENTO"/>
      <sheetName val="N"/>
      <sheetName val="ÍNDICE"/>
      <sheetName val="COMP_CX"/>
      <sheetName val="A11"/>
      <sheetName val="Aging"/>
      <sheetName val="PDD-Movimentação"/>
      <sheetName val="Plan1"/>
      <sheetName val="Cálculo Global Desp.Folha"/>
      <sheetName val="Depleção"/>
      <sheetName val="CAERN"/>
      <sheetName val="Resumo"/>
      <sheetName val="Mapa Imobilizado"/>
      <sheetName val="mapa doar consolidado"/>
      <sheetName val="Mapa"/>
      <sheetName val="Rev Anal"/>
      <sheetName val="ce"/>
      <sheetName val="Mining Schedule"/>
      <sheetName val="Paraná"/>
      <sheetName val="Plan1 (2)"/>
      <sheetName val="MES"/>
      <sheetName val="Intercompany BP"/>
      <sheetName val="Solver"/>
      <sheetName val="CF"/>
      <sheetName val="Equity set 04"/>
      <sheetName val="Ágio"/>
      <sheetName val="Equity dez 04"/>
      <sheetName val="Mov. Empréstimos FY2008"/>
      <sheetName val="local"/>
      <sheetName val="NTN_NBCE_SWAP"/>
      <sheetName val="BLP"/>
      <sheetName val="Aging List"/>
      <sheetName val="HIST"/>
      <sheetName val="Data 1 - NPV"/>
      <sheetName val="Worksheet in (C) 1602 Revisão a"/>
      <sheetName val="JAN"/>
      <sheetName val="Tab.Daten"/>
      <sheetName val="TAB.Hauptmenue"/>
      <sheetName val="Mapa Consórcios"/>
      <sheetName val=""/>
      <sheetName val="PDD"/>
      <sheetName val="{PPC}Mapa de movimentação"/>
      <sheetName val="PAS Moeda Nacional"/>
      <sheetName val="Amarre de AF"/>
      <sheetName val="HC"/>
      <sheetName val="P3 - Millennium"/>
      <sheetName val="CORP e SUDECAP"/>
      <sheetName val="VBC"/>
      <sheetName val="RGR Semesa"/>
      <sheetName val="Dep acumulada"/>
      <sheetName val="Movimiento"/>
      <sheetName val="Dep ejercicio"/>
      <sheetName val="F-2 ANÁLISE"/>
      <sheetName val="Bridge EBITDA"/>
      <sheetName val="Equivalência - 09"/>
      <sheetName val="Debêntures Reperfilamento"/>
      <sheetName val="PAES Tributos Federais"/>
      <sheetName val="LUCRO REAL"/>
      <sheetName val="Analisis dc real 2006"/>
      <sheetName val="Conciliação RH"/>
      <sheetName val="Estoques"/>
      <sheetName val="Compra Energia CP"/>
      <sheetName val="Movimentação"/>
      <sheetName val="Deferred 30.09.05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Mov. Aplicação"/>
      <sheetName val="Pivot"/>
      <sheetName val="Contingências "/>
      <sheetName val="IS"/>
      <sheetName val="DMPL03"/>
      <sheetName val="Premissas"/>
      <sheetName val="DRE Consolidada"/>
      <sheetName val="Códigos"/>
      <sheetName val="Shares"/>
      <sheetName val="Teste"/>
      <sheetName val="#Financeiro"/>
      <sheetName val="DMPL"/>
      <sheetName val="Sispec99"/>
      <sheetName val="STATO "/>
      <sheetName val="OutrosCredito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XLR_NoRangeSheet"/>
      <sheetName val="Sheet1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2 - Ativo LP"/>
      <sheetName val="Jul-09 SA"/>
      <sheetName val="Jul-09 Coperativa"/>
      <sheetName val="COMP"/>
      <sheetName val="감가상각누계액"/>
      <sheetName val="Links"/>
      <sheetName val="back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BRL Market"/>
      <sheetName val="BBG Links"/>
      <sheetName val="Apo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Mapa de Resultado"/>
      <sheetName val="XREF"/>
      <sheetName val="Deposito Judicial"/>
      <sheetName val="Lead"/>
      <sheetName val="PAS Vendas"/>
      <sheetName val="DRE_a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Nota Explicativa"/>
      <sheetName val="Mapa de Movimentações"/>
      <sheetName val="PAS - Depreciação"/>
      <sheetName val="Teste Saldo Inicial"/>
      <sheetName val="LOG - Saldo Inicial"/>
      <sheetName val="Teste de Adições"/>
      <sheetName val="PAS Amortização"/>
      <sheetName val="XREF"/>
      <sheetName val="Tickmarks"/>
      <sheetName val="At. Permanente - Dez - 03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Para referencia"/>
      <sheetName val="Ativo Fixo-Movimentação 30.09"/>
      <sheetName val="Depreciação (PAS)"/>
      <sheetName val="Maquinas Dep 5 anos"/>
      <sheetName val="Circularizações"/>
      <sheetName val="PAS Depreciação"/>
      <sheetName val="Ágio-Deságio"/>
      <sheetName val="Provisão Bens de Uso"/>
      <sheetName val="Mapa Relatório"/>
      <sheetName val="Mapa Diferido"/>
      <sheetName val="Aquisições"/>
      <sheetName val="Teste de Depreciação 31.12.07"/>
      <sheetName val="Imob em Andamento 31.12.07"/>
      <sheetName val="Mapa"/>
      <sheetName val="Venda CMI Brasil Imobil"/>
      <sheetName val="Imobilizado"/>
      <sheetName val="Consolidado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og adições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Laudo de Avaliação Fabrica SP"/>
      <sheetName val="Nota Explicativa - Reavalia (2)"/>
      <sheetName val="PAS - Depreciação Report"/>
      <sheetName val="Imobilizado em Andamento"/>
      <sheetName val="Teste do Saldo Inicial"/>
      <sheetName val="Teste de Baixas"/>
      <sheetName val="Off-Book"/>
      <sheetName val="Log@seleção_Saldo Inicial"/>
      <sheetName val="Teste adição"/>
      <sheetName val="Nota Relatório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Nota Explic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Imoveis - Não Operacional"/>
      <sheetName val="Mapa Imob."/>
      <sheetName val="Cálc. Deprec."/>
      <sheetName val="Custo X Deprec."/>
      <sheetName val="Direito de Uso de Lavra"/>
      <sheetName val="Consol Geral"/>
      <sheetName val="Cons  Normal"/>
      <sheetName val="Cons IPC"/>
      <sheetName val="Cálc.Global DeprecX"/>
      <sheetName val="Insp fís-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Sample Size"/>
      <sheetName val="Teste Detalhes"/>
      <sheetName val="Global Depreciação"/>
      <sheetName val="Controle Patrimonial"/>
      <sheetName val="PCC"/>
      <sheetName val="Programa"/>
      <sheetName val="Movimentação (2009)"/>
      <sheetName val="Teste de saldo inicial"/>
      <sheetName val="PAS de Depreciação"/>
      <sheetName val="Teste Baixa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Movimentação do Imobilizado"/>
      <sheetName val="Composição das Adições"/>
      <sheetName val="Inspeção física"/>
      <sheetName val="Consolidado Imobilizado"/>
      <sheetName val="Credi 21"/>
      <sheetName val="Marisa"/>
      <sheetName val="Confronto Controle Patrim"/>
      <sheetName val="Teste Detalhe"/>
      <sheetName val="Teste deprec exaust"/>
      <sheetName val="Teste taxas depreciacao"/>
      <sheetName val="Sumário"/>
      <sheetName val="Resumo Lead"/>
      <sheetName val="NE"/>
      <sheetName val="Mapa Mov. Reavaliação"/>
      <sheetName val="Teste de adição"/>
      <sheetName val="Adto. a fornecedor"/>
      <sheetName val="Abertura transf. 31.10.07"/>
      <sheetName val="Abertura"/>
      <sheetName val="Mapa Mov. Imobilizado"/>
      <sheetName val="Reavaliação"/>
      <sheetName val="PAS - Depreciação BRGAAP"/>
      <sheetName val="Depreciação IFRS"/>
      <sheetName val="PAS - Depreciação IFRS"/>
      <sheetName val="IFRS 31-12"/>
      <sheetName val="IFRS 30-11"/>
      <sheetName val="PAS-Depreciação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saldo inicial "/>
      <sheetName val="IFRS"/>
      <sheetName val="Cálculo Parâmetro R 0,7"/>
      <sheetName val="Níveis Parâmetro"/>
      <sheetName val="Ativo Imobil. Depr. {PPC}"/>
      <sheetName val="PAS Deprec. Rodovias"/>
      <sheetName val="Mapa {ppc}"/>
      <sheetName val="Selecionados SI imobilizado Bar"/>
      <sheetName val="Logs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Log Saldo Inicial"/>
      <sheetName val="Baixas{ppc}"/>
      <sheetName val="Summary Page"/>
      <sheetName val="Abertura Lead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PAS - Depreciação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Imobilizado - PPC"/>
      <sheetName val="DESPESA_DEPRECIAÇÃO"/>
      <sheetName val="Circularização"/>
      <sheetName val="Teste Depreci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Análise de Variação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Mapa de movimentação 31.12"/>
      <sheetName val="Tubrasil - integ. capital"/>
      <sheetName val="Reavaliação 31.12"/>
      <sheetName val="Imb. Andamento 31.12"/>
      <sheetName val="Imob. Andamento {PPC} 31.10"/>
      <sheetName val="bens"/>
      <sheetName val="jan a set 06"/>
      <sheetName val="NE Imobilizado"/>
      <sheetName val="NE Reaval."/>
      <sheetName val="Mapa Resumo 31.12"/>
      <sheetName val="Var. Saldos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Teste das Adições"/>
      <sheetName val="Cálculo Parâmetro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Excess Calc"/>
      <sheetName val="Mapa de Movim. (Diferido)"/>
      <sheetName val="Rollforward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CPC"/>
      <sheetName val="Sel. Imobilizado -Saldo Inicial"/>
      <sheetName val="Imobilizado - Adições"/>
      <sheetName val="Summary"/>
      <sheetName val="Mapa Movi."/>
      <sheetName val="NE's"/>
      <sheetName val="Mapa Imobilizado - 31.10"/>
      <sheetName val="Mapa Diferido - 31.10"/>
      <sheetName val="Mapa - 31.12"/>
      <sheetName val="Diferido - 31.12"/>
      <sheetName val="Resultado CC"/>
      <sheetName val="Roolforward Teste 31.12.2007"/>
      <sheetName val="Movimentação Imobilizado"/>
      <sheetName val="Mapa e PAS Depreciação"/>
      <sheetName val="Ampliação"/>
      <sheetName val="Nota do Relatório"/>
      <sheetName val="Seleçã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P1-Sumário"/>
      <sheetName val="P2-Lead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Mapa de Movimentão"/>
      <sheetName val="USGAAP"/>
      <sheetName val="Contábil x Patrimônio"/>
      <sheetName val="PAS - Depreciação jun e set"/>
      <sheetName val="Teste de baixa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Saldo  Inicial - Baixas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Imobilizado {PPC}"/>
      <sheetName val="PAS Depreciação 31.10.03"/>
      <sheetName val="Teste de adições 31.10.03"/>
      <sheetName val="Despesa com manutenção 31.10.03"/>
      <sheetName val="P1 - Sumário"/>
      <sheetName val="P2 - Lead"/>
      <sheetName val="P3 - Mapa Imobilizado"/>
      <sheetName val="P4 -Cálc. Global Depr. 31.10.08"/>
      <sheetName val="Sel. teste saldo inic. imob."/>
      <sheetName val="1.Mapa Imobilizado BR GAAP"/>
      <sheetName val="2.PAS Depreciação"/>
      <sheetName val="3.Mapa Diferido"/>
      <sheetName val="4.Amortização"/>
      <sheetName val="5. NE  mov. custo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13 Constr. em Andto 30.09"/>
      <sheetName val="P4 - RollForward"/>
      <sheetName val="Impairment"/>
      <sheetName val="P3 - Mapa do Imobilizado"/>
      <sheetName val="Capitalização de Juros"/>
      <sheetName val="Teste Saldo Inicial Set"/>
      <sheetName val="Sheet1"/>
      <sheetName val="PIS e COFINS"/>
      <sheetName val="Mapa de Mov."/>
      <sheetName val="PIS COFINS A RECUPERAR NOV06"/>
      <sheetName val="Mapa de Movimentação 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Log ACL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Mapa do Imobilizado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Pré op."/>
      <sheetName val="Resumo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Risco Específico"/>
      <sheetName val="Cobertura Seguros"/>
      <sheetName val="Mapa de Movimentação-31.12.2006"/>
      <sheetName val="PAS - Depreciação-31.12.06"/>
      <sheetName val="Parâmetros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Mapa Mov."/>
      <sheetName val="Deprec. DEZ."/>
      <sheetName val="Deprec. AGO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. Teste de Adiçõe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PAS Depreciação Report"/>
      <sheetName val="Teste de Inspeção Física"/>
      <sheetName val="Log Inspeção Física"/>
      <sheetName val="Mapa APMGAAP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Deprec.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Imob em Andamento"/>
      <sheetName val="Adto a Fornecedores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Mapa Dez2003"/>
      <sheetName val="PAS Depreciação Dez03"/>
      <sheetName val="Teste Inspeção"/>
      <sheetName val="Mapa imobil. SP"/>
      <sheetName val="PAS Deprec. - SP 10.02"/>
      <sheetName val="Andamento"/>
      <sheetName val="Teste veículos"/>
      <sheetName val="Teste de Sdo Inicial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Mutação imobilizado"/>
      <sheetName val="NE 2006"/>
      <sheetName val="Mapa de mov e PAs dep"/>
      <sheetName val="Imob. em andamento"/>
      <sheetName val="Total Deprec."/>
      <sheetName val="PAS Deprec. SET-07"/>
      <sheetName val="Set-03"/>
      <sheetName val="Jun-03"/>
      <sheetName val="Mov.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Dez-03"/>
      <sheetName val="Mov por empresa"/>
      <sheetName val="Mov. por grupo"/>
      <sheetName val="Abertura NBT"/>
      <sheetName val="Mapa Mov. AGO."/>
      <sheetName val="Depreciação AGO."/>
      <sheetName val="Mapa de Movimentação 30.11"/>
      <sheetName val="PAS - Depreciação 30.11"/>
      <sheetName val="Depreciação Software 30.11"/>
      <sheetName val="Teste de Saldo Inicial 30.11"/>
      <sheetName val="Mapa de Mov. Mensal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PAS Depreciacao"/>
      <sheetName val="Obras em andamento"/>
      <sheetName val="Dias Trab jan a set 2005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Bens Entrega Futura {ppc}"/>
      <sheetName val="Garantias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Adições de Imobilizado"/>
      <sheetName val="Depreciação Adições"/>
      <sheetName val="Teste impairment"/>
      <sheetName val="Apropriação"/>
      <sheetName val="Investimentos Dez"/>
      <sheetName val="Investimentos Out"/>
      <sheetName val="Tabela DAAM"/>
      <sheetName val="A"/>
      <sheetName val="B"/>
      <sheetName val="C"/>
      <sheetName val="D"/>
      <sheetName val="E"/>
      <sheetName val="P3 - NE"/>
      <sheetName val="P5 - Adições"/>
      <sheetName val="P6 - Baixas"/>
      <sheetName val="P7 - Depreciação"/>
      <sheetName val="Recálculo-Contabil-Inventário"/>
      <sheetName val="Seleção adições 30.9"/>
      <sheetName val="OS 600.238"/>
      <sheetName val="Relatório Patrimonial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Rollfoward"/>
      <sheetName val="Global de Depreciação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P2-Intruções DTT França"/>
      <sheetName val="P3-Impairment"/>
      <sheetName val="P4-Depreciação"/>
      <sheetName val="P5-Diferid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Teste de Adição e Baixa"/>
      <sheetName val="Procedimentos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Juros s. imobilizado"/>
      <sheetName val="Seleção Adições 30.09"/>
      <sheetName val=" Baixas 30.09"/>
      <sheetName val="Mapa dez05"/>
      <sheetName val="Seleção Adições"/>
      <sheetName val=" Baixas"/>
      <sheetName val="Mapa Mov. 31.10"/>
      <sheetName val="P3-Mapa do Imobilizado"/>
      <sheetName val="P4 - Teste Saldo Inicial"/>
      <sheetName val="P5 - Teste Adição"/>
      <sheetName val="P6 - PAS Depreciação 31.10"/>
      <sheetName val="P7 - Leasings"/>
      <sheetName val="P8 - Parâmetro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7-Log Adições"/>
      <sheetName val="P8-Parâmetro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Referência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LOG ACL Adições"/>
      <sheetName val="Depreciação - Maq. e Equip"/>
      <sheetName val="Roll Forward 31.12.08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REF Relatório"/>
      <sheetName val="P1.Mapa Imobilizado"/>
      <sheetName val="P2.PAS Depreciação"/>
      <sheetName val="P3.Teste de Adição nov.10"/>
      <sheetName val="Tabela Sample Size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4 - Teste de Adição"/>
      <sheetName val="P5 - Teste Saldo Inicial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Ágio"/>
      <sheetName val="Teste de Impairment Dez.09"/>
      <sheetName val="Depreciação Acelerada 31.12"/>
      <sheetName val="Impairment do Ágio"/>
      <sheetName val="Depreciação Acelerada 30.09"/>
      <sheetName val="Mapa USGAAP"/>
      <sheetName val="Rollfoward Depreciação USGAAP"/>
      <sheetName val="RollFoward  Depreciação BRGAAP"/>
      <sheetName val="PAS Depreciação USGAAP"/>
      <sheetName val="PAS Depreciação BRGAAP"/>
      <sheetName val="Principais baixas e adições"/>
      <sheetName val="Mapa IFRS"/>
      <sheetName val="Depreciação BRGAAP"/>
      <sheetName val="IFRS 30-06-08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4. Teste de Adição"/>
      <sheetName val="5. Teste de Baixas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1 Lead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Ajuste 2340"/>
      <sheetName val="Teste Insp."/>
      <sheetName val="Imoveis não operacionais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1. Sumário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Nota Relatorio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Para ref. relatório"/>
      <sheetName val="Análise de Variação - Dez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2. Mapa de Movimentação"/>
      <sheetName val="3. Teste de Adições"/>
      <sheetName val="4. Teste Saldo Inicial"/>
      <sheetName val="5. Depreciação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Mapa Movim 31.10"/>
      <sheetName val="12. Dif Res. Reaval"/>
      <sheetName val="1. Mapa Total Geral 08"/>
      <sheetName val="2. Resumo Obras em And. 31.12"/>
      <sheetName val="3. Movimentação - Obras"/>
      <sheetName val="11.1 Dif reavaliação"/>
      <sheetName val="12. Resumo"/>
      <sheetName val="12a Gastos com tercei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PAS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(6) Leasing"/>
      <sheetName val="(7) Fiscal x Cliente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3 - Mapa de Movimentação"/>
      <sheetName val="P4 - Imobilizado em Andamento"/>
      <sheetName val="P6 - Teste de Adições"/>
      <sheetName val="P7 - Depreciação (PAS)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sdo inicial"/>
      <sheetName val="PAS Vida Útil"/>
      <sheetName val="Depreciação 2010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 Resumo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P1 - Sumário "/>
      <sheetName val="P3 - Sublead"/>
      <sheetName val="P4 - Movimentação"/>
      <sheetName val="P5 - Global Deprec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4 - PAS Depreciação"/>
      <sheetName val="P5 - Teste de adição"/>
      <sheetName val="P6 - Base de Seleção_Adição"/>
      <sheetName val="Pendeci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ACL"/>
      <sheetName val="Detalhes imobilizado"/>
      <sheetName val="Composição e depreciaçã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Tabela"/>
      <sheetName val="Appendix 14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Teste de Obras em andamento"/>
      <sheetName val="Mapa do Diferido"/>
      <sheetName val="Teste Adições_Diferido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P3-Mapa Imobilizado_Consolidado"/>
      <sheetName val="Rede de Cabos"/>
      <sheetName val="Mapa Imobilizado Relatório"/>
      <sheetName val="PAS Decoders"/>
      <sheetName val="P8 - Variação Cambial Adto 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8-Log Saldo Inicial"/>
      <sheetName val="P9-Log Saldo Inicial Adicional"/>
      <sheetName val="P6-Teste de Adições"/>
      <sheetName val="P7-Log ACL"/>
      <sheetName val="Bens em Comodato"/>
      <sheetName val="Comodato"/>
      <sheetName val="Teste Saldo 12-07"/>
      <sheetName val="PAS Depreciacão"/>
      <sheetName val="Adições 2008"/>
      <sheetName val="P2 - Mapa de Mov. Imobilizado"/>
      <sheetName val="P3 - Teste de Adições"/>
      <sheetName val="Adições CBMP 30.06.06"/>
      <sheetName val="Inspeção física POS 30.06.06"/>
      <sheetName val="Adição POS CBMP 30.06.06"/>
      <sheetName val="Detalhe Depreciação"/>
      <sheetName val="P1 - Lead"/>
      <sheetName val="P2 - Mapa de Movimentação"/>
      <sheetName val="P3 - PAS Depreciação"/>
      <sheetName val="P5 - Log Adição"/>
      <sheetName val="P6 - Nota Relatório"/>
      <sheetName val="P6 - Teste Saldo Inicial"/>
      <sheetName val="Programa de Trabalho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tivo Fixo-Movimentação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{PPC} Demonstrativo Leasing"/>
      <sheetName val="Ajustes a Lei 11.638"/>
      <sheetName val="Comp. Analítica Imob."/>
      <sheetName val="Mapa de Movimentação 31.10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c008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Máquinas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2 - Composição"/>
      <sheetName val="P3 - Teste"/>
      <sheetName val="P4 - Lo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4 - Teste de Baixas"/>
      <sheetName val="P5 - Teste de Depreciação"/>
      <sheetName val="P6 - Teste de Custo Deprec."/>
      <sheetName val="P7 - Log ACL - Adições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Mapa movimentação e PAS deprec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Procedimentos Acordados"/>
      <sheetName val="2. Conta Gráfic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Controle adicional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Plano de Contas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"/>
      <sheetName val="Pas Depreciação 31-12-10"/>
      <sheetName val="Pas Depreciação 31-10-10"/>
      <sheetName val="Comparativo (UIR)"/>
      <sheetName val="Mapa Mov e PAS Depr"/>
      <sheetName val="Doação Terreno"/>
      <sheetName val="Imobilzado em Andamento"/>
      <sheetName val="Bx Ativo Imob."/>
      <sheetName val="Gastos Implantação"/>
      <sheetName val="N.E.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Suporte NE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6. Teste de Adiçã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 Package 2008"/>
      <sheetName val="Movimentação 31.08.08- 30.09.08"/>
      <sheetName val="PAS - 30.09.08"/>
      <sheetName val="PAS - 31.08.08"/>
      <sheetName val="Banco Pinto Sotto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7. Impairment"/>
      <sheetName val="1. Mapa de Movimentação 30.09 "/>
      <sheetName val="1.2. Mapa de Movimentação 31.12"/>
      <sheetName val="2. Teste de Adição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3.Referência Package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P1. Projeção Saldos Março 13"/>
      <sheetName val="P2. Mov Obras Andt"/>
      <sheetName val="P4. Perda Recup.Econômica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P2. Adição de Imobilizado"/>
      <sheetName val="P3. Teste Saldo Inicial 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5. I A Bens de Uso"/>
      <sheetName val="7. Impairment "/>
      <sheetName val="5. Teste final de Obras em Andt"/>
      <sheetName val="6. Análise de recuperabilidade"/>
      <sheetName val="7. Teste de Transferências"/>
      <sheetName val="8. Vida útil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1. Movimentação do Imobilizado"/>
      <sheetName val="6.Obras em andamento"/>
      <sheetName val="11.Capitalização dos juros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Sheet4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Tickmarks "/>
      <sheetName val="Obrigações Especiais"/>
      <sheetName val="Resumo ODI"/>
      <sheetName val="Obras em curso"/>
      <sheetName val="Teste obras em curso"/>
      <sheetName val="Log's"/>
      <sheetName val="ICATU"/>
      <sheetName val="Detalhe - Adições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Debêntures Reperfilamento"/>
      <sheetName val="Mapa de Resultado"/>
      <sheetName val="Deposito Judicial"/>
      <sheetName val="13. salário"/>
      <sheetName val="NOVEMBRO-2002"/>
      <sheetName val="Máq. e Equip.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P1. Planejamento"/>
      <sheetName val="DLNG Helium"/>
      <sheetName val="Profit Analysis Sheet"/>
      <sheetName val="Teste de Detalhe - Intangível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7. Análise de Baixas"/>
      <sheetName val="NE 9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Movimentação de Imobilizado"/>
      <sheetName val="Depreciação do Imobilizado"/>
      <sheetName val="Depreciação fiscal"/>
      <sheetName val="Depreciação custo atribuido"/>
      <sheetName val="Controle C. Atribuido"/>
      <sheetName val="Dep. Fiscal"/>
      <sheetName val="Dep. Deemed Cost"/>
      <sheetName val="Dep. Vida ùtil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Inspeção Fisíca"/>
      <sheetName val="Análise Máquinas e Equipamentos"/>
      <sheetName val="100% Depreciados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Sheet3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Teste adições e baixas 30.09"/>
      <sheetName val="Imobilizados em andamento"/>
      <sheetName val="Contratos Fábrica Betim"/>
      <sheetName val="Adiant. Int. e Ext. 30.09"/>
      <sheetName val="Adiant. Interno 31.12"/>
      <sheetName val="Adiant. Externo 31.12"/>
      <sheetName val="Reclassificação"/>
      <sheetName val="DIF FAT FEV 01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Mapa do Imobilizado Dez.06"/>
      <sheetName val="Depreciação Dez.06"/>
      <sheetName val="18,1"/>
      <sheetName val="CSLL PPC Márcio"/>
      <sheetName val="Mapa de imobilizado - PPC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NE9"/>
      <sheetName val="4. Gastos Desenvolv"/>
      <sheetName val="4. Carta Comentário"/>
      <sheetName val="1. Mapa Movimentação - Moët"/>
      <sheetName val="4. Sample Size"/>
      <sheetName val="P7. Diferido"/>
      <sheetName val="Certificate"/>
      <sheetName val="PAS deprec."/>
      <sheetName val="Teste de Adições e Baixas 31.12"/>
      <sheetName val="Mapa {PPE}"/>
      <sheetName val="B - MAPA RTT"/>
      <sheetName val="C - PAS Deprec."/>
      <sheetName val="D - Teste adições"/>
      <sheetName val="RF - Principais Variações"/>
      <sheetName val="Log 1"/>
      <sheetName val="Log 2"/>
      <sheetName val="IPE 100% Depreciados"/>
      <sheetName val="Importaçoes em Andamento"/>
      <sheetName val="Baixas Inventário"/>
      <sheetName val="Análise - CAPEX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Estoque em poder de terceiros"/>
      <sheetName val="Fornecedores"/>
      <sheetName val="Sheet5"/>
      <sheetName val="Sheet6"/>
      <sheetName val="Imob. Poder Terceiros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Sampling Sample Size Table"/>
      <sheetName val="Capitalização Juros-Imob. Andam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NE 31DEZ2013"/>
      <sheetName val="Teste de aquisições"/>
      <sheetName val="Mvt Imobilizado"/>
      <sheetName val="Mapa 31.08.02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Plan2 (2)"/>
      <sheetName val="Receita &amp; Lucro Bruto Loja"/>
      <sheetName val="Apropriações ao Custo - Out"/>
      <sheetName val="ShellsolD60"/>
      <sheetName val="CNT"/>
      <sheetName val="Cogen"/>
      <sheetName val="2. Intangivel"/>
      <sheetName val="4.1. PAS Depreciação"/>
      <sheetName val="Threshold"/>
      <sheetName val="Rollfoward Procedures 30.09.10"/>
      <sheetName val="PAS Depreciação_2010"/>
      <sheetName val="Teste de Controle e Adições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P3. Composição 31.12.2008"/>
      <sheetName val="P4. Teste de Saldo Inicial"/>
      <sheetName val="P5. Intangível Software"/>
      <sheetName val="NOTES "/>
      <sheetName val="2. Mapa Movimentação"/>
      <sheetName val="3. Teste de Adição 30.09"/>
      <sheetName val="3.1 Teste de Adição 31.12"/>
      <sheetName val="4. PAS Deprecição"/>
      <sheetName val="CFLOW"/>
      <sheetName val="Imob. em Andamento - SI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Mov_Açõe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 refreshError="1"/>
      <sheetData sheetId="85"/>
      <sheetData sheetId="86" refreshError="1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/>
      <sheetData sheetId="144" refreshError="1"/>
      <sheetData sheetId="145"/>
      <sheetData sheetId="146" refreshError="1"/>
      <sheetData sheetId="147"/>
      <sheetData sheetId="148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 refreshError="1"/>
      <sheetData sheetId="218" refreshError="1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 refreshError="1"/>
      <sheetData sheetId="755" refreshError="1"/>
      <sheetData sheetId="756" refreshError="1"/>
      <sheetData sheetId="757" refreshError="1"/>
      <sheetData sheetId="758"/>
      <sheetData sheetId="759" refreshError="1"/>
      <sheetData sheetId="760" refreshError="1"/>
      <sheetData sheetId="761" refreshError="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 refreshError="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/>
      <sheetData sheetId="92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 refreshError="1"/>
      <sheetData sheetId="996" refreshError="1"/>
      <sheetData sheetId="997"/>
      <sheetData sheetId="998" refreshError="1"/>
      <sheetData sheetId="999" refreshError="1"/>
      <sheetData sheetId="1000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/>
      <sheetData sheetId="1045"/>
      <sheetData sheetId="1046"/>
      <sheetData sheetId="1047"/>
      <sheetData sheetId="1048"/>
      <sheetData sheetId="1049"/>
      <sheetData sheetId="1050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 refreshError="1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 refreshError="1"/>
      <sheetData sheetId="1120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 refreshError="1"/>
      <sheetData sheetId="1203" refreshError="1"/>
      <sheetData sheetId="1204" refreshError="1"/>
      <sheetData sheetId="1205" refreshError="1"/>
      <sheetData sheetId="1206"/>
      <sheetData sheetId="1207" refreshError="1"/>
      <sheetData sheetId="1208" refreshError="1"/>
      <sheetData sheetId="1209" refreshError="1"/>
      <sheetData sheetId="1210" refreshError="1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/>
      <sheetData sheetId="1227"/>
      <sheetData sheetId="1228"/>
      <sheetData sheetId="1229"/>
      <sheetData sheetId="1230" refreshError="1"/>
      <sheetData sheetId="123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/>
      <sheetData sheetId="1246" refreshError="1"/>
      <sheetData sheetId="1247" refreshError="1"/>
      <sheetData sheetId="1248" refreshError="1"/>
      <sheetData sheetId="1249" refreshError="1"/>
      <sheetData sheetId="1250"/>
      <sheetData sheetId="125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/>
      <sheetData sheetId="1421"/>
      <sheetData sheetId="1422"/>
      <sheetData sheetId="1423"/>
      <sheetData sheetId="1424"/>
      <sheetData sheetId="1425"/>
      <sheetData sheetId="1426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 refreshError="1"/>
      <sheetData sheetId="1446" refreshError="1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 refreshError="1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 refreshError="1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 refreshError="1"/>
      <sheetData sheetId="1743"/>
      <sheetData sheetId="1744"/>
      <sheetData sheetId="1745"/>
      <sheetData sheetId="1746"/>
      <sheetData sheetId="1747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 refreshError="1"/>
      <sheetData sheetId="1817"/>
      <sheetData sheetId="1818"/>
      <sheetData sheetId="1819"/>
      <sheetData sheetId="1820"/>
      <sheetData sheetId="182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/>
      <sheetData sheetId="1829" refreshError="1"/>
      <sheetData sheetId="1830" refreshError="1"/>
      <sheetData sheetId="1831" refreshError="1"/>
      <sheetData sheetId="1832"/>
      <sheetData sheetId="1833"/>
      <sheetData sheetId="1834"/>
      <sheetData sheetId="1835"/>
      <sheetData sheetId="1836"/>
      <sheetData sheetId="1837"/>
      <sheetData sheetId="1838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/>
      <sheetData sheetId="1846" refreshError="1"/>
      <sheetData sheetId="1847" refreshError="1"/>
      <sheetData sheetId="1848" refreshError="1"/>
      <sheetData sheetId="1849" refreshError="1"/>
      <sheetData sheetId="1850"/>
      <sheetData sheetId="1851"/>
      <sheetData sheetId="1852"/>
      <sheetData sheetId="1853"/>
      <sheetData sheetId="1854"/>
      <sheetData sheetId="1855"/>
      <sheetData sheetId="1856" refreshError="1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 refreshError="1"/>
      <sheetData sheetId="1880" refreshError="1"/>
      <sheetData sheetId="1881" refreshError="1"/>
      <sheetData sheetId="1882" refreshError="1"/>
      <sheetData sheetId="1883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/>
      <sheetData sheetId="1913" refreshError="1"/>
      <sheetData sheetId="1914" refreshError="1"/>
      <sheetData sheetId="1915"/>
      <sheetData sheetId="1916"/>
      <sheetData sheetId="1917"/>
      <sheetData sheetId="1918"/>
      <sheetData sheetId="1919" refreshError="1"/>
      <sheetData sheetId="1920"/>
      <sheetData sheetId="1921" refreshError="1"/>
      <sheetData sheetId="1922" refreshError="1"/>
      <sheetData sheetId="1923"/>
      <sheetData sheetId="1924"/>
      <sheetData sheetId="1925" refreshError="1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/>
      <sheetData sheetId="1948" refreshError="1"/>
      <sheetData sheetId="1949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/>
      <sheetData sheetId="1957"/>
      <sheetData sheetId="1958"/>
      <sheetData sheetId="1959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/>
      <sheetData sheetId="1998" refreshError="1"/>
      <sheetData sheetId="1999"/>
      <sheetData sheetId="2000"/>
      <sheetData sheetId="2001"/>
      <sheetData sheetId="2002"/>
      <sheetData sheetId="2003"/>
      <sheetData sheetId="2004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/>
      <sheetData sheetId="2040" refreshError="1"/>
      <sheetData sheetId="204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/>
      <sheetData sheetId="2049"/>
      <sheetData sheetId="2050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/>
      <sheetData sheetId="2060"/>
      <sheetData sheetId="2061"/>
      <sheetData sheetId="2062"/>
      <sheetData sheetId="2063" refreshError="1"/>
      <sheetData sheetId="2064"/>
      <sheetData sheetId="2065"/>
      <sheetData sheetId="2066" refreshError="1"/>
      <sheetData sheetId="2067" refreshError="1"/>
      <sheetData sheetId="2068" refreshError="1"/>
      <sheetData sheetId="2069" refreshError="1"/>
      <sheetData sheetId="2070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/>
      <sheetData sheetId="2088" refreshError="1"/>
      <sheetData sheetId="2089"/>
      <sheetData sheetId="2090" refreshError="1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/>
      <sheetData sheetId="2109"/>
      <sheetData sheetId="2110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/>
      <sheetData sheetId="2124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/>
      <sheetData sheetId="2224">
        <row r="17">
          <cell r="U17">
            <v>39813</v>
          </cell>
        </row>
      </sheetData>
      <sheetData sheetId="2225"/>
      <sheetData sheetId="2226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/>
      <sheetData sheetId="2267"/>
      <sheetData sheetId="2268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/>
      <sheetData sheetId="2276"/>
      <sheetData sheetId="2277"/>
      <sheetData sheetId="2278"/>
      <sheetData sheetId="2279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/>
      <sheetData sheetId="2293" refreshError="1"/>
      <sheetData sheetId="2294" refreshError="1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/>
      <sheetData sheetId="2392"/>
      <sheetData sheetId="2393"/>
      <sheetData sheetId="2394" refreshError="1"/>
      <sheetData sheetId="2395"/>
      <sheetData sheetId="2396" refreshError="1"/>
      <sheetData sheetId="2397" refreshError="1"/>
      <sheetData sheetId="2398" refreshError="1"/>
      <sheetData sheetId="2399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/>
      <sheetData sheetId="2412" refreshError="1"/>
      <sheetData sheetId="2413"/>
      <sheetData sheetId="2414"/>
      <sheetData sheetId="2415"/>
      <sheetData sheetId="2416" refreshError="1"/>
      <sheetData sheetId="2417" refreshError="1"/>
      <sheetData sheetId="2418" refreshError="1"/>
      <sheetData sheetId="2419" refreshError="1"/>
      <sheetData sheetId="2420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/>
      <sheetData sheetId="2432"/>
      <sheetData sheetId="2433"/>
      <sheetData sheetId="2434"/>
      <sheetData sheetId="2435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/>
      <sheetData sheetId="2444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/>
      <sheetData sheetId="2453"/>
      <sheetData sheetId="2454"/>
      <sheetData sheetId="2455"/>
      <sheetData sheetId="2456"/>
      <sheetData sheetId="2457"/>
      <sheetData sheetId="2458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/>
      <sheetData sheetId="2518"/>
      <sheetData sheetId="2519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>
        <row r="7">
          <cell r="A7" t="str">
            <v>{c}</v>
          </cell>
        </row>
      </sheetData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>
        <row r="7">
          <cell r="A7" t="str">
            <v>{c}</v>
          </cell>
        </row>
      </sheetData>
      <sheetData sheetId="2551"/>
      <sheetData sheetId="2552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/>
      <sheetData sheetId="2591">
        <row r="17">
          <cell r="U17">
            <v>39813</v>
          </cell>
        </row>
      </sheetData>
      <sheetData sheetId="2592"/>
      <sheetData sheetId="2593"/>
      <sheetData sheetId="2594"/>
      <sheetData sheetId="2595"/>
      <sheetData sheetId="2596"/>
      <sheetData sheetId="2597"/>
      <sheetData sheetId="2598"/>
      <sheetData sheetId="2599" refreshError="1"/>
      <sheetData sheetId="2600" refreshError="1"/>
      <sheetData sheetId="2601" refreshError="1"/>
      <sheetData sheetId="2602"/>
      <sheetData sheetId="2603"/>
      <sheetData sheetId="2604"/>
      <sheetData sheetId="2605"/>
      <sheetData sheetId="2606"/>
      <sheetData sheetId="2607"/>
      <sheetData sheetId="2608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/>
      <sheetData sheetId="2621" refreshError="1"/>
      <sheetData sheetId="2622" refreshError="1"/>
      <sheetData sheetId="2623" refreshError="1"/>
      <sheetData sheetId="2624" refreshError="1"/>
      <sheetData sheetId="2625"/>
      <sheetData sheetId="2626"/>
      <sheetData sheetId="2627"/>
      <sheetData sheetId="2628" refreshError="1"/>
      <sheetData sheetId="2629" refreshError="1"/>
      <sheetData sheetId="2630" refreshError="1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 refreshError="1"/>
      <sheetData sheetId="2639"/>
      <sheetData sheetId="2640"/>
      <sheetData sheetId="264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/>
      <sheetData sheetId="2766"/>
      <sheetData sheetId="2767" refreshError="1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/>
      <sheetData sheetId="2808"/>
      <sheetData sheetId="2809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/>
      <sheetData sheetId="2818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/>
      <sheetData sheetId="287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/>
      <sheetData sheetId="2957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/>
      <sheetData sheetId="2973" refreshError="1"/>
      <sheetData sheetId="2974" refreshError="1"/>
      <sheetData sheetId="2975" refreshError="1"/>
      <sheetData sheetId="2976" refreshError="1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/>
      <sheetData sheetId="3034"/>
      <sheetData sheetId="3035"/>
      <sheetData sheetId="3036"/>
      <sheetData sheetId="3037" refreshError="1"/>
      <sheetData sheetId="3038" refreshError="1"/>
      <sheetData sheetId="3039"/>
      <sheetData sheetId="3040"/>
      <sheetData sheetId="3041"/>
      <sheetData sheetId="3042"/>
      <sheetData sheetId="3043"/>
      <sheetData sheetId="3044" refreshError="1"/>
      <sheetData sheetId="3045"/>
      <sheetData sheetId="3046" refreshError="1"/>
      <sheetData sheetId="3047"/>
      <sheetData sheetId="3048" refreshError="1"/>
      <sheetData sheetId="3049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/>
      <sheetData sheetId="3063" refreshError="1"/>
      <sheetData sheetId="3064" refreshError="1"/>
      <sheetData sheetId="3065"/>
      <sheetData sheetId="3066"/>
      <sheetData sheetId="3067" refreshError="1"/>
      <sheetData sheetId="3068" refreshError="1"/>
      <sheetData sheetId="3069" refreshError="1"/>
      <sheetData sheetId="3070" refreshError="1"/>
      <sheetData sheetId="3071"/>
      <sheetData sheetId="3072"/>
      <sheetData sheetId="3073"/>
      <sheetData sheetId="3074"/>
      <sheetData sheetId="3075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 refreshError="1"/>
      <sheetData sheetId="3094"/>
      <sheetData sheetId="3095"/>
      <sheetData sheetId="3096"/>
      <sheetData sheetId="3097"/>
      <sheetData sheetId="3098" refreshError="1"/>
      <sheetData sheetId="3099"/>
      <sheetData sheetId="3100"/>
      <sheetData sheetId="3101"/>
      <sheetData sheetId="3102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/>
      <sheetData sheetId="3115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>
        <row r="831">
          <cell r="R831">
            <v>32146023.650000002</v>
          </cell>
        </row>
      </sheetData>
      <sheetData sheetId="3200"/>
      <sheetData sheetId="3201"/>
      <sheetData sheetId="3202"/>
      <sheetData sheetId="3203"/>
      <sheetData sheetId="3204"/>
      <sheetData sheetId="3205"/>
      <sheetData sheetId="3206" refreshError="1"/>
      <sheetData sheetId="3207" refreshError="1"/>
      <sheetData sheetId="3208" refreshError="1"/>
      <sheetData sheetId="3209"/>
      <sheetData sheetId="3210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>
        <row r="7">
          <cell r="A7" t="str">
            <v>{c}</v>
          </cell>
        </row>
      </sheetData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/>
      <sheetData sheetId="3259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/>
      <sheetData sheetId="3267"/>
      <sheetData sheetId="3268"/>
      <sheetData sheetId="3269"/>
      <sheetData sheetId="3270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/>
      <sheetData sheetId="3280"/>
      <sheetData sheetId="328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>
        <row r="13">
          <cell r="I13">
            <v>1183000</v>
          </cell>
        </row>
      </sheetData>
      <sheetData sheetId="3310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/>
      <sheetData sheetId="3323" refreshError="1"/>
      <sheetData sheetId="3324" refreshError="1"/>
      <sheetData sheetId="3325" refreshError="1"/>
      <sheetData sheetId="3326" refreshError="1"/>
      <sheetData sheetId="3327"/>
      <sheetData sheetId="3328" refreshError="1"/>
      <sheetData sheetId="3329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/>
      <sheetData sheetId="3339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/>
      <sheetData sheetId="3346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/>
      <sheetData sheetId="3354"/>
      <sheetData sheetId="3355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/>
      <sheetData sheetId="3363"/>
      <sheetData sheetId="3364" refreshError="1"/>
      <sheetData sheetId="3365"/>
      <sheetData sheetId="3366" refreshError="1"/>
      <sheetData sheetId="3367" refreshError="1"/>
      <sheetData sheetId="3368"/>
      <sheetData sheetId="3369"/>
      <sheetData sheetId="3370"/>
      <sheetData sheetId="3371"/>
      <sheetData sheetId="3372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>
        <row r="831">
          <cell r="R831">
            <v>32146023.650000002</v>
          </cell>
        </row>
      </sheetData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/>
      <sheetData sheetId="3385"/>
      <sheetData sheetId="3386">
        <row r="831">
          <cell r="R831">
            <v>32146023.650000002</v>
          </cell>
        </row>
      </sheetData>
      <sheetData sheetId="3387"/>
      <sheetData sheetId="3388"/>
      <sheetData sheetId="3389"/>
      <sheetData sheetId="3390"/>
      <sheetData sheetId="339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>
        <row r="17">
          <cell r="Q17">
            <v>11538.076629999998</v>
          </cell>
        </row>
      </sheetData>
      <sheetData sheetId="3474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/>
      <sheetData sheetId="3499" refreshError="1"/>
      <sheetData sheetId="3500"/>
      <sheetData sheetId="3501"/>
      <sheetData sheetId="3502"/>
      <sheetData sheetId="3503" refreshError="1"/>
      <sheetData sheetId="3504" refreshError="1"/>
      <sheetData sheetId="3505" refreshError="1"/>
      <sheetData sheetId="3506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>
        <row r="29">
          <cell r="D29" t="str">
            <v>&lt;5</v>
          </cell>
        </row>
      </sheetData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/>
      <sheetData sheetId="3544">
        <row r="29">
          <cell r="D29" t="str">
            <v>&lt;5</v>
          </cell>
        </row>
      </sheetData>
      <sheetData sheetId="3545"/>
      <sheetData sheetId="3546"/>
      <sheetData sheetId="3547">
        <row r="9">
          <cell r="G9">
            <v>0</v>
          </cell>
        </row>
      </sheetData>
      <sheetData sheetId="3548"/>
      <sheetData sheetId="3549">
        <row r="19">
          <cell r="BE19">
            <v>348567.86605000001</v>
          </cell>
        </row>
      </sheetData>
      <sheetData sheetId="3550">
        <row r="17">
          <cell r="K17" t="str">
            <v>&lt;1</v>
          </cell>
        </row>
      </sheetData>
      <sheetData sheetId="3551"/>
      <sheetData sheetId="3552">
        <row r="29">
          <cell r="D29" t="str">
            <v>&lt;5</v>
          </cell>
        </row>
      </sheetData>
      <sheetData sheetId="3553">
        <row r="17">
          <cell r="K17" t="str">
            <v>&lt;1</v>
          </cell>
        </row>
      </sheetData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/>
      <sheetData sheetId="3566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>
        <row r="26">
          <cell r="G26">
            <v>0</v>
          </cell>
        </row>
      </sheetData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/>
      <sheetData sheetId="3662"/>
      <sheetData sheetId="3663"/>
      <sheetData sheetId="3664"/>
      <sheetData sheetId="3665"/>
      <sheetData sheetId="3666" refreshError="1"/>
      <sheetData sheetId="3667"/>
      <sheetData sheetId="3668"/>
      <sheetData sheetId="3669"/>
      <sheetData sheetId="3670" refreshError="1"/>
      <sheetData sheetId="3671" refreshError="1"/>
      <sheetData sheetId="3672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/>
      <sheetData sheetId="3702"/>
      <sheetData sheetId="3703"/>
      <sheetData sheetId="3704"/>
      <sheetData sheetId="3705"/>
      <sheetData sheetId="3706" refreshError="1"/>
      <sheetData sheetId="3707" refreshError="1"/>
      <sheetData sheetId="3708"/>
      <sheetData sheetId="3709" refreshError="1"/>
      <sheetData sheetId="3710" refreshError="1"/>
      <sheetData sheetId="3711" refreshError="1"/>
      <sheetData sheetId="3712"/>
      <sheetData sheetId="3713" refreshError="1"/>
      <sheetData sheetId="3714" refreshError="1"/>
      <sheetData sheetId="3715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/>
      <sheetData sheetId="3742"/>
      <sheetData sheetId="3743" refreshError="1"/>
      <sheetData sheetId="3744" refreshError="1"/>
      <sheetData sheetId="3745" refreshError="1"/>
      <sheetData sheetId="3746" refreshError="1"/>
      <sheetData sheetId="3747"/>
      <sheetData sheetId="3748"/>
      <sheetData sheetId="3749"/>
      <sheetData sheetId="3750"/>
      <sheetData sheetId="3751"/>
      <sheetData sheetId="3752"/>
      <sheetData sheetId="3753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/>
      <sheetData sheetId="3767" refreshError="1"/>
      <sheetData sheetId="3768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/>
      <sheetData sheetId="3779"/>
      <sheetData sheetId="3780"/>
      <sheetData sheetId="3781"/>
      <sheetData sheetId="3782"/>
      <sheetData sheetId="3783"/>
      <sheetData sheetId="3784" refreshError="1"/>
      <sheetData sheetId="3785" refreshError="1"/>
      <sheetData sheetId="3786" refreshError="1"/>
      <sheetData sheetId="3787" refreshError="1"/>
      <sheetData sheetId="3788"/>
      <sheetData sheetId="3789" refreshError="1"/>
      <sheetData sheetId="3790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/>
      <sheetData sheetId="3805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/>
      <sheetData sheetId="3819"/>
      <sheetData sheetId="3820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/>
      <sheetData sheetId="3844"/>
      <sheetData sheetId="3845"/>
      <sheetData sheetId="3846"/>
      <sheetData sheetId="3847"/>
      <sheetData sheetId="3848"/>
      <sheetData sheetId="3849"/>
      <sheetData sheetId="3850" refreshError="1"/>
      <sheetData sheetId="3851" refreshError="1"/>
      <sheetData sheetId="3852"/>
      <sheetData sheetId="3853"/>
      <sheetData sheetId="3854" refreshError="1"/>
      <sheetData sheetId="3855" refreshError="1"/>
      <sheetData sheetId="3856" refreshError="1"/>
      <sheetData sheetId="3857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/>
      <sheetData sheetId="3907" refreshError="1"/>
      <sheetData sheetId="3908" refreshError="1"/>
      <sheetData sheetId="3909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/>
      <sheetData sheetId="3920"/>
      <sheetData sheetId="3921"/>
      <sheetData sheetId="3922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/>
      <sheetData sheetId="3935"/>
      <sheetData sheetId="3936"/>
      <sheetData sheetId="3937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/>
      <sheetData sheetId="3946"/>
      <sheetData sheetId="3947"/>
      <sheetData sheetId="3948"/>
      <sheetData sheetId="3949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t."/>
      <sheetName val="Dev.SAC "/>
      <sheetName val="Custo.Var."/>
      <sheetName val="Indisp."/>
      <sheetName val="CapitalEmp."/>
      <sheetName val="MargemSub"/>
      <sheetName val="PEF"/>
      <sheetName val="QLP"/>
      <sheetName val="TurnAcid"/>
      <sheetName val="Farol de Metas"/>
      <sheetName val="Princip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Gráfico1"/>
      <sheetName val="Gráfico5"/>
      <sheetName val="Gráfico8"/>
      <sheetName val="Gráfico9"/>
      <sheetName val="Gráfico14"/>
      <sheetName val="Gráfico15"/>
      <sheetName val="Gráfico19"/>
      <sheetName val="Gráfico Prod"/>
      <sheetName val="Gráfico17"/>
      <sheetName val="Gráfico18"/>
      <sheetName val="Gráfico20"/>
      <sheetName val="BASE DE DADOS"/>
      <sheetName val="CAPA (3)"/>
      <sheetName val="Dev.SAC "/>
      <sheetName val="Farol de Me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emissas"/>
      <sheetName val="invest."/>
      <sheetName val="Custos"/>
      <sheetName val="Fluxo"/>
      <sheetName val="Sensibilidade"/>
      <sheetName val="conclusão"/>
      <sheetName val="BASE DE DADOS"/>
      <sheetName val="Dev.SA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AMV a Favor SUP"/>
      <sheetName val="C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8">
          <cell r="O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ção"/>
      <sheetName val="Ano-base"/>
      <sheetName val="Dialog"/>
      <sheetName val="Premissas"/>
      <sheetName val="Demonstração de resultados"/>
      <sheetName val="Balanço patrimonial"/>
      <sheetName val="Fluxo de caixa"/>
      <sheetName val="Gráfico da demonstração de resu"/>
      <sheetName val="Gráfico do balanço patrimonial"/>
      <sheetName val="Gráfico do fluxo de caixa"/>
      <sheetName val="Gráfico do fluxo de caixa livre"/>
      <sheetName val="MyDialog"/>
      <sheetName val="VDlg"/>
      <sheetName val="Module1"/>
      <sheetName val="Input"/>
      <sheetName val="Controle"/>
      <sheetName val="aux"/>
      <sheetName val="$Interse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AMV a Favor SUP"/>
      <sheetName val="C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 1"/>
    </sheetNames>
    <sheetDataSet>
      <sheetData sheetId="0">
        <row r="1">
          <cell r="E1" t="str">
            <v>Check</v>
          </cell>
          <cell r="J1">
            <v>2017</v>
          </cell>
          <cell r="K1">
            <v>2018</v>
          </cell>
          <cell r="L1">
            <v>2019</v>
          </cell>
          <cell r="M1">
            <v>2020</v>
          </cell>
          <cell r="N1">
            <v>2021</v>
          </cell>
          <cell r="O1">
            <v>2022</v>
          </cell>
          <cell r="P1">
            <v>2023</v>
          </cell>
          <cell r="Q1">
            <v>2024</v>
          </cell>
          <cell r="R1">
            <v>2025</v>
          </cell>
          <cell r="S1">
            <v>2026</v>
          </cell>
          <cell r="T1">
            <v>2027</v>
          </cell>
          <cell r="U1">
            <v>2028</v>
          </cell>
          <cell r="V1">
            <v>2029</v>
          </cell>
          <cell r="W1">
            <v>2030</v>
          </cell>
          <cell r="Y1">
            <v>2020</v>
          </cell>
          <cell r="Z1">
            <v>2020</v>
          </cell>
          <cell r="AA1">
            <v>2020</v>
          </cell>
          <cell r="AB1">
            <v>2020</v>
          </cell>
          <cell r="AC1">
            <v>2020</v>
          </cell>
          <cell r="AD1">
            <v>2020</v>
          </cell>
          <cell r="AE1">
            <v>2020</v>
          </cell>
          <cell r="AF1">
            <v>2020</v>
          </cell>
          <cell r="AG1">
            <v>2020</v>
          </cell>
          <cell r="AH1">
            <v>2020</v>
          </cell>
          <cell r="AI1">
            <v>2020</v>
          </cell>
          <cell r="AJ1">
            <v>2020</v>
          </cell>
          <cell r="AK1">
            <v>2021</v>
          </cell>
          <cell r="AL1">
            <v>2021</v>
          </cell>
          <cell r="AM1">
            <v>2021</v>
          </cell>
          <cell r="AN1">
            <v>2021</v>
          </cell>
          <cell r="AO1">
            <v>2021</v>
          </cell>
          <cell r="AP1">
            <v>2021</v>
          </cell>
          <cell r="AQ1">
            <v>2021</v>
          </cell>
          <cell r="AR1">
            <v>2021</v>
          </cell>
          <cell r="AS1">
            <v>2021</v>
          </cell>
          <cell r="AT1">
            <v>2021</v>
          </cell>
          <cell r="AU1">
            <v>2021</v>
          </cell>
          <cell r="AV1">
            <v>2021</v>
          </cell>
        </row>
        <row r="2">
          <cell r="C2" t="e">
            <v>#VALUE!</v>
          </cell>
          <cell r="E2" t="str">
            <v>[unit.]</v>
          </cell>
          <cell r="F2" t="str">
            <v>[Inputs]</v>
          </cell>
          <cell r="J2">
            <v>43100</v>
          </cell>
          <cell r="K2">
            <v>43465</v>
          </cell>
          <cell r="L2">
            <v>43830</v>
          </cell>
          <cell r="M2">
            <v>44196</v>
          </cell>
          <cell r="N2">
            <v>44561</v>
          </cell>
          <cell r="O2">
            <v>44926</v>
          </cell>
          <cell r="P2">
            <v>45291</v>
          </cell>
          <cell r="Q2">
            <v>45657</v>
          </cell>
          <cell r="R2">
            <v>46022</v>
          </cell>
          <cell r="S2">
            <v>46387</v>
          </cell>
          <cell r="T2">
            <v>46752</v>
          </cell>
          <cell r="U2">
            <v>47118</v>
          </cell>
          <cell r="V2">
            <v>47483</v>
          </cell>
          <cell r="W2">
            <v>47848</v>
          </cell>
          <cell r="Y2">
            <v>43861</v>
          </cell>
          <cell r="Z2">
            <v>43890</v>
          </cell>
          <cell r="AA2">
            <v>43919</v>
          </cell>
          <cell r="AB2">
            <v>43950</v>
          </cell>
          <cell r="AC2">
            <v>43980</v>
          </cell>
          <cell r="AD2">
            <v>44011</v>
          </cell>
          <cell r="AE2">
            <v>44041</v>
          </cell>
          <cell r="AF2">
            <v>44072</v>
          </cell>
          <cell r="AG2">
            <v>44103</v>
          </cell>
          <cell r="AH2">
            <v>44133</v>
          </cell>
          <cell r="AI2">
            <v>44164</v>
          </cell>
          <cell r="AJ2">
            <v>44194</v>
          </cell>
          <cell r="AK2">
            <v>44225</v>
          </cell>
          <cell r="AL2">
            <v>44255</v>
          </cell>
          <cell r="AM2">
            <v>44283</v>
          </cell>
          <cell r="AN2">
            <v>44314</v>
          </cell>
          <cell r="AO2">
            <v>44344</v>
          </cell>
          <cell r="AP2">
            <v>44375</v>
          </cell>
          <cell r="AQ2">
            <v>44405</v>
          </cell>
          <cell r="AR2">
            <v>44436</v>
          </cell>
          <cell r="AS2">
            <v>44467</v>
          </cell>
          <cell r="AT2">
            <v>44497</v>
          </cell>
          <cell r="AU2">
            <v>44528</v>
          </cell>
          <cell r="AV2">
            <v>44558</v>
          </cell>
        </row>
        <row r="4">
          <cell r="C4" t="str">
            <v>Income Statement</v>
          </cell>
        </row>
        <row r="6">
          <cell r="C6" t="str">
            <v>Gross Revenues</v>
          </cell>
          <cell r="E6" t="str">
            <v>[R$ mm]</v>
          </cell>
          <cell r="M6">
            <v>440.92257378790583</v>
          </cell>
          <cell r="N6">
            <v>484.77886841533177</v>
          </cell>
          <cell r="O6">
            <v>568.13912682892408</v>
          </cell>
          <cell r="P6">
            <v>684.51666774083606</v>
          </cell>
          <cell r="Q6">
            <v>886.07279869783906</v>
          </cell>
          <cell r="R6">
            <v>1055.1335188028927</v>
          </cell>
          <cell r="S6">
            <v>1171.3179291381159</v>
          </cell>
          <cell r="T6">
            <v>1329.0194789330205</v>
          </cell>
          <cell r="U6">
            <v>1429.1541135505936</v>
          </cell>
          <cell r="V6">
            <v>1564.5760658235185</v>
          </cell>
          <cell r="W6">
            <v>1691.7736201271921</v>
          </cell>
        </row>
        <row r="7">
          <cell r="C7" t="str">
            <v>Check</v>
          </cell>
          <cell r="L7">
            <v>395.86500000000001</v>
          </cell>
          <cell r="M7">
            <v>440.92257378790583</v>
          </cell>
          <cell r="N7">
            <v>484.77886841533177</v>
          </cell>
          <cell r="O7">
            <v>568.13912682892408</v>
          </cell>
          <cell r="P7">
            <v>684.51666774083606</v>
          </cell>
          <cell r="Q7">
            <v>886.07279869783906</v>
          </cell>
          <cell r="R7">
            <v>1055.1335188028927</v>
          </cell>
          <cell r="S7">
            <v>1171.3179291381159</v>
          </cell>
          <cell r="T7">
            <v>1329.0194789330205</v>
          </cell>
          <cell r="U7">
            <v>1429.1541135505936</v>
          </cell>
          <cell r="V7">
            <v>1564.5760658235185</v>
          </cell>
          <cell r="W7">
            <v>1691.7736201271921</v>
          </cell>
        </row>
        <row r="9">
          <cell r="C9" t="str">
            <v>Waste Treatment and Disposal</v>
          </cell>
          <cell r="E9" t="str">
            <v>[R$ mm]</v>
          </cell>
          <cell r="M9">
            <v>279.7236358505013</v>
          </cell>
          <cell r="N9">
            <v>302.27613196892969</v>
          </cell>
          <cell r="O9">
            <v>329.83920612525674</v>
          </cell>
          <cell r="P9">
            <v>352.5644957840251</v>
          </cell>
          <cell r="Q9">
            <v>383.84839435941996</v>
          </cell>
          <cell r="R9">
            <v>417.32881162926441</v>
          </cell>
          <cell r="S9">
            <v>446.12606081092383</v>
          </cell>
          <cell r="T9">
            <v>502.08996865749691</v>
          </cell>
          <cell r="U9">
            <v>535.10238409672741</v>
          </cell>
          <cell r="V9">
            <v>570.28536585108714</v>
          </cell>
          <cell r="W9">
            <v>607.78162865579588</v>
          </cell>
        </row>
        <row r="10">
          <cell r="C10" t="str">
            <v>Waste Treatment  + Waste Treatment Ecoparks</v>
          </cell>
          <cell r="M10">
            <v>279.7236358505013</v>
          </cell>
          <cell r="N10">
            <v>302.27613196892969</v>
          </cell>
          <cell r="O10">
            <v>329.83920612525674</v>
          </cell>
          <cell r="P10">
            <v>352.5644957840251</v>
          </cell>
          <cell r="Q10">
            <v>383.84839435941996</v>
          </cell>
          <cell r="R10">
            <v>443.60924977479624</v>
          </cell>
          <cell r="S10">
            <v>482.43485134840915</v>
          </cell>
          <cell r="T10">
            <v>569.95086637859254</v>
          </cell>
          <cell r="U10">
            <v>607.78140555602079</v>
          </cell>
          <cell r="V10">
            <v>680.06863465262268</v>
          </cell>
          <cell r="W10">
            <v>734.41403485906505</v>
          </cell>
        </row>
        <row r="11">
          <cell r="C11" t="str">
            <v>Energy, Biogas and CERs</v>
          </cell>
          <cell r="E11" t="str">
            <v>[R$ mm]</v>
          </cell>
          <cell r="M11">
            <v>75.817506777404574</v>
          </cell>
          <cell r="N11">
            <v>92.160584344596344</v>
          </cell>
          <cell r="O11">
            <v>103.24624939231508</v>
          </cell>
          <cell r="P11">
            <v>115.97437034005998</v>
          </cell>
          <cell r="Q11">
            <v>125.21313878952569</v>
          </cell>
          <cell r="R11">
            <v>139.12800542795142</v>
          </cell>
          <cell r="S11">
            <v>152.06283611669272</v>
          </cell>
          <cell r="T11">
            <v>167.97967322090736</v>
          </cell>
          <cell r="U11">
            <v>185.8624629606816</v>
          </cell>
          <cell r="V11">
            <v>203.50745732539463</v>
          </cell>
          <cell r="W11">
            <v>224.50040612644045</v>
          </cell>
        </row>
        <row r="12">
          <cell r="C12" t="str">
            <v>Energy, Biogas and CERs + Energy/CER Ecoparks</v>
          </cell>
          <cell r="M12">
            <v>75.817506777404574</v>
          </cell>
          <cell r="N12">
            <v>92.160584344596344</v>
          </cell>
          <cell r="O12">
            <v>103.24624939231508</v>
          </cell>
          <cell r="P12">
            <v>115.97437034005998</v>
          </cell>
          <cell r="Q12">
            <v>125.21313878952569</v>
          </cell>
          <cell r="R12">
            <v>165.40844357348323</v>
          </cell>
          <cell r="S12">
            <v>190.84330525759566</v>
          </cell>
          <cell r="T12">
            <v>241.74812671041713</v>
          </cell>
          <cell r="U12">
            <v>270.96056580203981</v>
          </cell>
          <cell r="V12">
            <v>333.62524843553382</v>
          </cell>
          <cell r="W12">
            <v>383.15260789213551</v>
          </cell>
        </row>
        <row r="13">
          <cell r="C13" t="str">
            <v>Waste Processing and WtE</v>
          </cell>
          <cell r="E13" t="str">
            <v>[R$ mm]</v>
          </cell>
          <cell r="M13">
            <v>57.181986609999981</v>
          </cell>
          <cell r="N13">
            <v>44.820152101805704</v>
          </cell>
          <cell r="O13">
            <v>84.158549330669445</v>
          </cell>
          <cell r="P13">
            <v>156.15017068353322</v>
          </cell>
          <cell r="Q13">
            <v>307.95416460436269</v>
          </cell>
          <cell r="R13">
            <v>344.28721293161789</v>
          </cell>
          <cell r="S13">
            <v>397.92022509646415</v>
          </cell>
          <cell r="T13">
            <v>439.87392578102737</v>
          </cell>
          <cell r="U13">
            <v>465.4322808555284</v>
          </cell>
          <cell r="V13">
            <v>492.71965050144013</v>
          </cell>
          <cell r="W13">
            <v>521.91122320790259</v>
          </cell>
        </row>
        <row r="14">
          <cell r="C14" t="str">
            <v>Environmental Engineering</v>
          </cell>
          <cell r="M14">
            <v>28.199444549999996</v>
          </cell>
          <cell r="N14">
            <v>45.522000000000013</v>
          </cell>
          <cell r="O14">
            <v>50.895121980682795</v>
          </cell>
          <cell r="P14">
            <v>59.827630933217748</v>
          </cell>
          <cell r="Q14">
            <v>69.05710094453076</v>
          </cell>
          <cell r="R14">
            <v>78.800171658718725</v>
          </cell>
          <cell r="S14">
            <v>84.654015012833398</v>
          </cell>
          <cell r="T14">
            <v>90.944418675765249</v>
          </cell>
          <cell r="U14">
            <v>100.57769173256867</v>
          </cell>
          <cell r="V14">
            <v>108.01055041854143</v>
          </cell>
          <cell r="W14">
            <v>115.99614722359621</v>
          </cell>
        </row>
        <row r="15">
          <cell r="C15" t="str">
            <v>Y.o.Y</v>
          </cell>
          <cell r="M15">
            <v>0.11382055445140593</v>
          </cell>
          <cell r="N15">
            <v>9.9464843114432711E-2</v>
          </cell>
          <cell r="O15">
            <v>0.17195522297843602</v>
          </cell>
          <cell r="P15">
            <v>0.20483986301291157</v>
          </cell>
          <cell r="Q15">
            <v>0.29445028946075857</v>
          </cell>
          <cell r="R15">
            <v>0.19079777683448018</v>
          </cell>
          <cell r="S15">
            <v>0.11011346740935779</v>
          </cell>
          <cell r="T15">
            <v>0.13463599068354171</v>
          </cell>
          <cell r="U15">
            <v>7.5344745660134604E-2</v>
          </cell>
          <cell r="V15">
            <v>9.4756717269967705E-2</v>
          </cell>
          <cell r="W15">
            <v>8.1298415003378421E-2</v>
          </cell>
        </row>
        <row r="17">
          <cell r="C17" t="str">
            <v>New Projects - Ecoparks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26.280438145531814</v>
          </cell>
          <cell r="S17">
            <v>38.780469140902945</v>
          </cell>
          <cell r="T17">
            <v>73.768453489509767</v>
          </cell>
          <cell r="U17">
            <v>85.098102841358255</v>
          </cell>
          <cell r="V17">
            <v>130.11779111013919</v>
          </cell>
          <cell r="W17">
            <v>158.65220176569508</v>
          </cell>
        </row>
        <row r="18">
          <cell r="C18" t="str">
            <v>Waste Treatment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26.280438145531814</v>
          </cell>
          <cell r="S18">
            <v>36.308790537485301</v>
          </cell>
          <cell r="T18">
            <v>67.860897721095583</v>
          </cell>
          <cell r="U18">
            <v>72.679021459293381</v>
          </cell>
          <cell r="V18">
            <v>109.78326880153554</v>
          </cell>
          <cell r="W18">
            <v>126.6324062032692</v>
          </cell>
        </row>
        <row r="19">
          <cell r="C19" t="str">
            <v>Biogas + CER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2.4716786034176415</v>
          </cell>
          <cell r="T19">
            <v>5.9075557684141842</v>
          </cell>
          <cell r="U19">
            <v>12.419081382064871</v>
          </cell>
          <cell r="V19">
            <v>20.33452230860366</v>
          </cell>
          <cell r="W19">
            <v>32.019795562425905</v>
          </cell>
        </row>
        <row r="21">
          <cell r="C21" t="str">
            <v>New Projects - UBM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49.308879009808422</v>
          </cell>
          <cell r="S21">
            <v>51.774322960298839</v>
          </cell>
          <cell r="T21">
            <v>54.363039108313785</v>
          </cell>
          <cell r="U21">
            <v>57.081191063729477</v>
          </cell>
          <cell r="V21">
            <v>59.935250616915958</v>
          </cell>
          <cell r="W21">
            <v>62.932013147761758</v>
          </cell>
        </row>
        <row r="22">
          <cell r="C22" t="str">
            <v>Y.o.Y.</v>
          </cell>
          <cell r="M22">
            <v>0.11382055445140593</v>
          </cell>
          <cell r="N22">
            <v>9.9464843114432711E-2</v>
          </cell>
          <cell r="O22">
            <v>0.17195522297843602</v>
          </cell>
          <cell r="P22">
            <v>0.20483986301291157</v>
          </cell>
          <cell r="Q22">
            <v>0.29445028946075857</v>
          </cell>
          <cell r="R22">
            <v>0.19079777683448018</v>
          </cell>
          <cell r="S22">
            <v>0.11011346740935779</v>
          </cell>
          <cell r="T22">
            <v>0.13463599068354171</v>
          </cell>
          <cell r="U22">
            <v>7.5344745660134604E-2</v>
          </cell>
          <cell r="V22">
            <v>9.4756717269967705E-2</v>
          </cell>
          <cell r="W22">
            <v>8.1298415003378421E-2</v>
          </cell>
        </row>
        <row r="43">
          <cell r="C43" t="str">
            <v>Net Revenues</v>
          </cell>
          <cell r="E43" t="str">
            <v>[R$ mm]</v>
          </cell>
          <cell r="M43">
            <v>388.79705671822984</v>
          </cell>
          <cell r="N43">
            <v>424.66238463177899</v>
          </cell>
          <cell r="O43">
            <v>499.51864280879511</v>
          </cell>
          <cell r="P43">
            <v>607.03985658048157</v>
          </cell>
          <cell r="Q43">
            <v>796.09401291215499</v>
          </cell>
          <cell r="R43">
            <v>941.39290852010436</v>
          </cell>
          <cell r="S43">
            <v>1048.6788690026394</v>
          </cell>
          <cell r="T43">
            <v>1191.110360523988</v>
          </cell>
          <cell r="U43">
            <v>1280.972146326289</v>
          </cell>
          <cell r="V43">
            <v>1402.7287452398866</v>
          </cell>
          <cell r="W43">
            <v>1517.2852972220205</v>
          </cell>
        </row>
        <row r="44">
          <cell r="C44" t="str">
            <v>Check</v>
          </cell>
          <cell r="M44">
            <v>388.79705671822984</v>
          </cell>
          <cell r="N44">
            <v>424.66238463177899</v>
          </cell>
          <cell r="O44">
            <v>499.51864280879511</v>
          </cell>
          <cell r="P44">
            <v>607.03985658048157</v>
          </cell>
          <cell r="Q44">
            <v>796.09401291215499</v>
          </cell>
          <cell r="R44">
            <v>941.39290852010436</v>
          </cell>
          <cell r="S44">
            <v>1048.6788690026394</v>
          </cell>
          <cell r="T44">
            <v>1191.110360523988</v>
          </cell>
          <cell r="U44">
            <v>1280.972146326289</v>
          </cell>
          <cell r="V44">
            <v>1402.7287452398866</v>
          </cell>
          <cell r="W44">
            <v>1517.2852972220203</v>
          </cell>
        </row>
        <row r="45">
          <cell r="M45" t="b">
            <v>1</v>
          </cell>
          <cell r="N45" t="b">
            <v>1</v>
          </cell>
          <cell r="O45" t="b">
            <v>1</v>
          </cell>
          <cell r="P45" t="b">
            <v>1</v>
          </cell>
          <cell r="Q45" t="b">
            <v>1</v>
          </cell>
          <cell r="R45" t="b">
            <v>1</v>
          </cell>
          <cell r="S45" t="b">
            <v>1</v>
          </cell>
          <cell r="T45" t="b">
            <v>1</v>
          </cell>
          <cell r="U45" t="b">
            <v>1</v>
          </cell>
          <cell r="V45" t="b">
            <v>1</v>
          </cell>
          <cell r="W45" t="b">
            <v>1</v>
          </cell>
        </row>
        <row r="46">
          <cell r="C46" t="str">
            <v>Waste Treatment and Disposal</v>
          </cell>
          <cell r="E46" t="str">
            <v>[R$ mm]</v>
          </cell>
          <cell r="M46">
            <v>245.8745359440455</v>
          </cell>
          <cell r="N46">
            <v>264.25833775855278</v>
          </cell>
          <cell r="O46">
            <v>287.82740716356119</v>
          </cell>
          <cell r="P46">
            <v>307.55244158391167</v>
          </cell>
          <cell r="Q46">
            <v>334.77143368712507</v>
          </cell>
          <cell r="R46">
            <v>384.80056838693821</v>
          </cell>
          <cell r="S46">
            <v>418.84105264428115</v>
          </cell>
          <cell r="T46">
            <v>495.58697759091154</v>
          </cell>
          <cell r="U46">
            <v>528.49371105324167</v>
          </cell>
          <cell r="V46">
            <v>592.44835367404119</v>
          </cell>
          <cell r="W46">
            <v>640.10333976451193</v>
          </cell>
        </row>
        <row r="47">
          <cell r="C47" t="str">
            <v>Energy, Biogas and CERs</v>
          </cell>
          <cell r="E47" t="str">
            <v>[R$ mm]</v>
          </cell>
          <cell r="M47">
            <v>67.178676349809365</v>
          </cell>
          <cell r="N47">
            <v>80.989733721285276</v>
          </cell>
          <cell r="O47">
            <v>90.882280710707562</v>
          </cell>
          <cell r="P47">
            <v>102.44764293903327</v>
          </cell>
          <cell r="Q47">
            <v>110.60222358920669</v>
          </cell>
          <cell r="R47">
            <v>122.09043071703744</v>
          </cell>
          <cell r="S47">
            <v>135.9953508303827</v>
          </cell>
          <cell r="T47">
            <v>153.62857342025552</v>
          </cell>
          <cell r="U47">
            <v>176.04294735680969</v>
          </cell>
          <cell r="V47">
            <v>199.49397858968263</v>
          </cell>
          <cell r="W47">
            <v>229.71124359555841</v>
          </cell>
        </row>
        <row r="48">
          <cell r="C48" t="str">
            <v>Waste Processing and WtE</v>
          </cell>
          <cell r="E48" t="str">
            <v>[R$ mm]</v>
          </cell>
          <cell r="M48">
            <v>51.562820722749983</v>
          </cell>
          <cell r="N48">
            <v>40.379198151940912</v>
          </cell>
          <cell r="O48">
            <v>77.166387836090863</v>
          </cell>
          <cell r="P48">
            <v>145.73757853230239</v>
          </cell>
          <cell r="Q48">
            <v>291.50389157588813</v>
          </cell>
          <cell r="R48">
            <v>366.93076221877726</v>
          </cell>
          <cell r="S48">
            <v>421.25164765447107</v>
          </cell>
          <cell r="T48">
            <v>463.90997049835232</v>
          </cell>
          <cell r="U48">
            <v>490.19011725555998</v>
          </cell>
          <cell r="V48">
            <v>518.16736599226351</v>
          </cell>
          <cell r="W48">
            <v>548.00401761771627</v>
          </cell>
        </row>
        <row r="49">
          <cell r="C49" t="str">
            <v>Environmental Engineering</v>
          </cell>
          <cell r="E49" t="str">
            <v>[R$ mm]</v>
          </cell>
          <cell r="M49">
            <v>24.181023701624994</v>
          </cell>
          <cell r="N49">
            <v>39.035115000000012</v>
          </cell>
          <cell r="O49">
            <v>43.642567098435492</v>
          </cell>
          <cell r="P49">
            <v>51.302193525234216</v>
          </cell>
          <cell r="Q49">
            <v>59.216464059935127</v>
          </cell>
          <cell r="R49">
            <v>67.571147197351308</v>
          </cell>
          <cell r="S49">
            <v>72.590817873504633</v>
          </cell>
          <cell r="T49">
            <v>77.984839014468704</v>
          </cell>
          <cell r="U49">
            <v>86.245370660677636</v>
          </cell>
          <cell r="V49">
            <v>92.619046983899267</v>
          </cell>
          <cell r="W49">
            <v>99.466696244233759</v>
          </cell>
        </row>
        <row r="51">
          <cell r="C51" t="str">
            <v>New UBMs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40.151197108319707</v>
          </cell>
          <cell r="S51">
            <v>42.158756963735691</v>
          </cell>
          <cell r="T51">
            <v>44.266694811922477</v>
          </cell>
          <cell r="U51">
            <v>46.480029552518602</v>
          </cell>
          <cell r="V51">
            <v>48.804031030144543</v>
          </cell>
          <cell r="W51">
            <v>51.244232581651772</v>
          </cell>
        </row>
        <row r="52">
          <cell r="C52" t="str">
            <v>New Ecoparks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23.744375864487992</v>
          </cell>
          <cell r="S52">
            <v>35.192526925583813</v>
          </cell>
          <cell r="T52">
            <v>67.01749388271179</v>
          </cell>
          <cell r="U52">
            <v>77.656176076026895</v>
          </cell>
          <cell r="V52">
            <v>118.81847815693118</v>
          </cell>
          <cell r="W52">
            <v>145.31503184457191</v>
          </cell>
        </row>
        <row r="53">
          <cell r="C53" t="str">
            <v>Waste Processing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23.744375864487996</v>
          </cell>
          <cell r="S53">
            <v>32.804992250617971</v>
          </cell>
          <cell r="T53">
            <v>61.312321091009856</v>
          </cell>
          <cell r="U53">
            <v>65.665495888471568</v>
          </cell>
          <cell r="V53">
            <v>99.189183362187364</v>
          </cell>
          <cell r="W53">
            <v>114.41237900465372</v>
          </cell>
        </row>
        <row r="54">
          <cell r="C54" t="str">
            <v>Biogas + CER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2.3875346749658446</v>
          </cell>
          <cell r="T54">
            <v>5.7051727917019228</v>
          </cell>
          <cell r="U54">
            <v>11.99068018755532</v>
          </cell>
          <cell r="V54">
            <v>19.629294794743821</v>
          </cell>
          <cell r="W54">
            <v>30.902652839918204</v>
          </cell>
        </row>
        <row r="56">
          <cell r="C56" t="str">
            <v>% over Gross Revenues</v>
          </cell>
          <cell r="E56" t="str">
            <v>[%]</v>
          </cell>
          <cell r="M56">
            <v>0.11821920710902327</v>
          </cell>
          <cell r="N56">
            <v>0.12400805336268964</v>
          </cell>
          <cell r="O56">
            <v>0.12078112698052516</v>
          </cell>
          <cell r="P56">
            <v>0.11318469631434597</v>
          </cell>
          <cell r="Q56">
            <v>0.10154784789456998</v>
          </cell>
          <cell r="R56">
            <v>0.10779736237725955</v>
          </cell>
          <cell r="S56">
            <v>0.10470176976264445</v>
          </cell>
          <cell r="T56">
            <v>0.1037675674398319</v>
          </cell>
          <cell r="U56">
            <v>0.10368508603747503</v>
          </cell>
          <cell r="V56">
            <v>0.10344483986366176</v>
          </cell>
          <cell r="W56">
            <v>0.10313928579407301</v>
          </cell>
        </row>
        <row r="58">
          <cell r="C58" t="str">
            <v>Net Revenues Pro Forma</v>
          </cell>
          <cell r="M58">
            <v>390.72972942982977</v>
          </cell>
          <cell r="N58">
            <v>438.38754346177899</v>
          </cell>
          <cell r="O58">
            <v>534.43432040976529</v>
          </cell>
          <cell r="P58">
            <v>659.87316597182314</v>
          </cell>
          <cell r="Q58">
            <v>863.40612523244772</v>
          </cell>
          <cell r="R58">
            <v>1019.2753049334465</v>
          </cell>
          <cell r="S58">
            <v>1136.8591026758627</v>
          </cell>
          <cell r="T58">
            <v>1286.0347534420901</v>
          </cell>
          <cell r="U58">
            <v>1382.0503148725152</v>
          </cell>
          <cell r="V58">
            <v>1510.3745274146204</v>
          </cell>
          <cell r="W58">
            <v>1631.9413038231514</v>
          </cell>
        </row>
        <row r="59">
          <cell r="C59" t="str">
            <v>Net Revenues - Own Business</v>
          </cell>
          <cell r="M59">
            <v>388.79705671822984</v>
          </cell>
          <cell r="N59">
            <v>424.66238463177899</v>
          </cell>
          <cell r="O59">
            <v>499.51864280879511</v>
          </cell>
          <cell r="P59">
            <v>607.03985658048157</v>
          </cell>
          <cell r="Q59">
            <v>796.09401291215499</v>
          </cell>
          <cell r="R59">
            <v>941.39290852010436</v>
          </cell>
          <cell r="S59">
            <v>1048.6788690026394</v>
          </cell>
          <cell r="T59">
            <v>1191.110360523988</v>
          </cell>
          <cell r="U59">
            <v>1280.972146326289</v>
          </cell>
          <cell r="V59">
            <v>1402.7287452398866</v>
          </cell>
          <cell r="W59">
            <v>1517.2852972220205</v>
          </cell>
        </row>
        <row r="60">
          <cell r="C60" t="str">
            <v>Joint Ventures</v>
          </cell>
          <cell r="M60">
            <v>1.9326727115999347</v>
          </cell>
          <cell r="N60">
            <v>13.725158829999998</v>
          </cell>
          <cell r="O60">
            <v>34.915677600970184</v>
          </cell>
          <cell r="P60">
            <v>52.833309391341572</v>
          </cell>
          <cell r="Q60">
            <v>67.312112320292727</v>
          </cell>
          <cell r="R60">
            <v>77.882396413342121</v>
          </cell>
          <cell r="S60">
            <v>88.180233673223256</v>
          </cell>
          <cell r="T60">
            <v>94.924392918102058</v>
          </cell>
          <cell r="U60">
            <v>101.07816854622615</v>
          </cell>
          <cell r="V60">
            <v>107.64578217473377</v>
          </cell>
          <cell r="W60">
            <v>114.65600660113091</v>
          </cell>
        </row>
        <row r="61">
          <cell r="C61" t="str">
            <v>Deductions Own Business</v>
          </cell>
          <cell r="M61">
            <v>-52.125517069676036</v>
          </cell>
          <cell r="N61">
            <v>-60.116483783552759</v>
          </cell>
          <cell r="O61">
            <v>-68.62048402012897</v>
          </cell>
          <cell r="P61">
            <v>-77.476811160354586</v>
          </cell>
          <cell r="Q61">
            <v>-89.978785785684096</v>
          </cell>
          <cell r="R61">
            <v>-113.74061028278842</v>
          </cell>
          <cell r="S61">
            <v>-122.6390601354765</v>
          </cell>
          <cell r="T61">
            <v>-137.90911840903246</v>
          </cell>
          <cell r="U61">
            <v>-148.18196722430466</v>
          </cell>
          <cell r="V61">
            <v>-161.84732058363181</v>
          </cell>
          <cell r="W61">
            <v>-174.48832290517197</v>
          </cell>
        </row>
        <row r="62">
          <cell r="C62" t="str">
            <v>Deductions JVs</v>
          </cell>
          <cell r="M62">
            <v>-1.2206353968000001</v>
          </cell>
          <cell r="N62">
            <v>-4.3452423399999995</v>
          </cell>
          <cell r="O62">
            <v>-12.09507663722459</v>
          </cell>
          <cell r="P62">
            <v>-15.572781435894655</v>
          </cell>
          <cell r="Q62">
            <v>-17.925092702480775</v>
          </cell>
          <cell r="R62">
            <v>-19.201834873223611</v>
          </cell>
          <cell r="S62">
            <v>-20.508592170215369</v>
          </cell>
          <cell r="T62">
            <v>-21.808900194214395</v>
          </cell>
          <cell r="U62">
            <v>-23.136774437609169</v>
          </cell>
          <cell r="V62">
            <v>-24.547837275154553</v>
          </cell>
          <cell r="W62">
            <v>-26.047440579796902</v>
          </cell>
        </row>
        <row r="63">
          <cell r="C63" t="str">
            <v>Total Deductions</v>
          </cell>
          <cell r="M63">
            <v>53.346152466476035</v>
          </cell>
          <cell r="N63">
            <v>64.461726123552765</v>
          </cell>
          <cell r="O63">
            <v>80.715560657353564</v>
          </cell>
          <cell r="P63">
            <v>93.049592596249241</v>
          </cell>
          <cell r="Q63">
            <v>107.90387848816488</v>
          </cell>
          <cell r="R63">
            <v>132.94244515601204</v>
          </cell>
          <cell r="S63">
            <v>143.14765230569188</v>
          </cell>
          <cell r="T63">
            <v>159.71801860324686</v>
          </cell>
          <cell r="U63">
            <v>171.31874166191383</v>
          </cell>
          <cell r="V63">
            <v>186.39515785878638</v>
          </cell>
          <cell r="W63">
            <v>200.53576348496887</v>
          </cell>
        </row>
        <row r="64">
          <cell r="C64" t="str">
            <v>% over Gross Revenues Pro-Forma</v>
          </cell>
          <cell r="M64">
            <v>0.13652954574078896</v>
          </cell>
          <cell r="N64">
            <v>0.14704278687875832</v>
          </cell>
          <cell r="O64">
            <v>0.15102989754749799</v>
          </cell>
          <cell r="P64">
            <v>0.14101132974427164</v>
          </cell>
          <cell r="Q64">
            <v>0.12497465020776266</v>
          </cell>
          <cell r="R64">
            <v>0.13042839801234321</v>
          </cell>
          <cell r="S64">
            <v>0.12591503377046509</v>
          </cell>
          <cell r="T64">
            <v>0.12419416985097746</v>
          </cell>
          <cell r="U64">
            <v>0.1239598441665395</v>
          </cell>
          <cell r="V64">
            <v>0.12340989236480822</v>
          </cell>
          <cell r="W64">
            <v>0.12288172559587371</v>
          </cell>
        </row>
        <row r="84">
          <cell r="C84" t="str">
            <v>Gross Profit and Gross Margin</v>
          </cell>
          <cell r="E84" t="str">
            <v>[R$ mm]</v>
          </cell>
          <cell r="M84">
            <v>179.02059912517439</v>
          </cell>
          <cell r="N84">
            <v>213.92784835054164</v>
          </cell>
          <cell r="O84">
            <v>259.56892346005304</v>
          </cell>
          <cell r="P84">
            <v>323.07160698344063</v>
          </cell>
          <cell r="Q84">
            <v>433.5338714024125</v>
          </cell>
          <cell r="R84">
            <v>514.33249711251131</v>
          </cell>
          <cell r="S84">
            <v>564.71767499040402</v>
          </cell>
          <cell r="T84">
            <v>664.66637782535076</v>
          </cell>
          <cell r="U84">
            <v>721.81255726714721</v>
          </cell>
          <cell r="V84">
            <v>797.60036735037124</v>
          </cell>
          <cell r="W84">
            <v>876.29549838089883</v>
          </cell>
        </row>
        <row r="85">
          <cell r="M85">
            <v>159.18080050521922</v>
          </cell>
          <cell r="N85">
            <v>188.66740462044299</v>
          </cell>
          <cell r="O85">
            <v>218.69211013381306</v>
          </cell>
          <cell r="P85">
            <v>279.47921692784701</v>
          </cell>
          <cell r="Q85">
            <v>384.9374508804845</v>
          </cell>
          <cell r="R85">
            <v>458.70765679154823</v>
          </cell>
          <cell r="S85">
            <v>506.51092982858927</v>
          </cell>
          <cell r="T85">
            <v>604.49065819911675</v>
          </cell>
          <cell r="U85">
            <v>658.35270397263741</v>
          </cell>
          <cell r="V85">
            <v>729.82450631117922</v>
          </cell>
          <cell r="W85">
            <v>804.29468932385248</v>
          </cell>
        </row>
        <row r="86">
          <cell r="M86" t="b">
            <v>0</v>
          </cell>
          <cell r="N86" t="b">
            <v>0</v>
          </cell>
          <cell r="O86" t="b">
            <v>0</v>
          </cell>
          <cell r="P86" t="b">
            <v>0</v>
          </cell>
          <cell r="Q86" t="b">
            <v>0</v>
          </cell>
          <cell r="R86" t="b">
            <v>0</v>
          </cell>
          <cell r="S86" t="b">
            <v>0</v>
          </cell>
          <cell r="T86" t="b">
            <v>0</v>
          </cell>
          <cell r="U86" t="b">
            <v>0</v>
          </cell>
          <cell r="V86" t="b">
            <v>0</v>
          </cell>
          <cell r="W86" t="b">
            <v>0</v>
          </cell>
        </row>
        <row r="88">
          <cell r="C88" t="str">
            <v>Waste Treatment and Disposal</v>
          </cell>
          <cell r="E88" t="str">
            <v>[R$ mm]</v>
          </cell>
          <cell r="M88">
            <v>115.50523396956186</v>
          </cell>
          <cell r="N88">
            <v>132.59887666713371</v>
          </cell>
          <cell r="O88">
            <v>152.51106890040057</v>
          </cell>
          <cell r="P88">
            <v>166.04494695117967</v>
          </cell>
          <cell r="Q88">
            <v>185.54461292737358</v>
          </cell>
          <cell r="R88">
            <v>203.67813563784466</v>
          </cell>
          <cell r="S88">
            <v>219.52270969280187</v>
          </cell>
          <cell r="T88">
            <v>258.08598208556134</v>
          </cell>
          <cell r="U88">
            <v>276.39171095754483</v>
          </cell>
          <cell r="V88">
            <v>295.96787028035391</v>
          </cell>
          <cell r="W88">
            <v>316.90133229500498</v>
          </cell>
        </row>
        <row r="89">
          <cell r="C89" t="str">
            <v>Waste Treatment - Ecopark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13.069541543204046</v>
          </cell>
          <cell r="S89">
            <v>21.029789328321655</v>
          </cell>
          <cell r="T89">
            <v>37.179353183383171</v>
          </cell>
          <cell r="U89">
            <v>40.325879585463547</v>
          </cell>
          <cell r="V89">
            <v>59.60725840879379</v>
          </cell>
          <cell r="W89">
            <v>72.85135780359046</v>
          </cell>
        </row>
        <row r="90">
          <cell r="C90" t="str">
            <v>Waste Treatment + New Projects Ecoparks</v>
          </cell>
          <cell r="M90">
            <v>115.50523396956186</v>
          </cell>
          <cell r="N90">
            <v>132.59887666713371</v>
          </cell>
          <cell r="O90">
            <v>152.51106890040057</v>
          </cell>
          <cell r="P90">
            <v>166.04494695117967</v>
          </cell>
          <cell r="Q90">
            <v>185.54461292737358</v>
          </cell>
          <cell r="R90">
            <v>216.74767718104872</v>
          </cell>
          <cell r="S90">
            <v>240.55249902112354</v>
          </cell>
          <cell r="T90">
            <v>295.26533526894451</v>
          </cell>
          <cell r="U90">
            <v>316.71759054300838</v>
          </cell>
          <cell r="V90">
            <v>355.57512868914768</v>
          </cell>
          <cell r="W90">
            <v>389.75269009859545</v>
          </cell>
        </row>
        <row r="91">
          <cell r="C91" t="str">
            <v>Gross Margin</v>
          </cell>
          <cell r="E91" t="str">
            <v>[%]</v>
          </cell>
          <cell r="M91">
            <v>0.46977306342877156</v>
          </cell>
          <cell r="N91">
            <v>0.5017774568319826</v>
          </cell>
          <cell r="O91">
            <v>0.52986986334395325</v>
          </cell>
          <cell r="P91">
            <v>0.53989149328823149</v>
          </cell>
          <cell r="Q91">
            <v>0.55424266904679276</v>
          </cell>
          <cell r="R91">
            <v>0.56327275733932114</v>
          </cell>
          <cell r="S91">
            <v>0.57432884742896284</v>
          </cell>
          <cell r="T91">
            <v>0.59578913212016427</v>
          </cell>
          <cell r="U91">
            <v>0.59928355611236694</v>
          </cell>
          <cell r="V91">
            <v>0.60017911516516986</v>
          </cell>
          <cell r="W91">
            <v>0.60889026175364414</v>
          </cell>
        </row>
        <row r="93">
          <cell r="C93" t="str">
            <v>(+) Energy, Biogas and CERs</v>
          </cell>
          <cell r="E93" t="str">
            <v>[R$ mm]</v>
          </cell>
          <cell r="M93">
            <v>57.383908643922737</v>
          </cell>
          <cell r="N93">
            <v>71.126662720849097</v>
          </cell>
          <cell r="O93">
            <v>80.53005170963219</v>
          </cell>
          <cell r="P93">
            <v>91.584031337874038</v>
          </cell>
          <cell r="Q93">
            <v>99.141765129272883</v>
          </cell>
          <cell r="R93">
            <v>109.94889611373284</v>
          </cell>
          <cell r="S93">
            <v>120.74275465695487</v>
          </cell>
          <cell r="T93">
            <v>134.28957285604906</v>
          </cell>
          <cell r="U93">
            <v>149.60145198813535</v>
          </cell>
          <cell r="V93">
            <v>164.54547114639888</v>
          </cell>
          <cell r="W93">
            <v>182.56615938475235</v>
          </cell>
        </row>
        <row r="94">
          <cell r="C94" t="str">
            <v>Energy, Biogas and CERs - Ecoparks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2.3875346749658446</v>
          </cell>
          <cell r="T94">
            <v>5.7051727917019228</v>
          </cell>
          <cell r="U94">
            <v>11.99068018755532</v>
          </cell>
          <cell r="V94">
            <v>19.629294794743821</v>
          </cell>
          <cell r="W94">
            <v>30.902652839918204</v>
          </cell>
        </row>
        <row r="95">
          <cell r="A95" t="e">
            <v>#REF!</v>
          </cell>
          <cell r="B95" t="e">
            <v>#REF!</v>
          </cell>
          <cell r="C95" t="str">
            <v>(+) Energy, Biogas and CERs + New Projects Ecopark</v>
          </cell>
          <cell r="D95" t="e">
            <v>#REF!</v>
          </cell>
          <cell r="E95" t="e">
            <v>#VALUE!</v>
          </cell>
          <cell r="M95">
            <v>57.383908643922737</v>
          </cell>
          <cell r="N95">
            <v>71.126662720849097</v>
          </cell>
          <cell r="O95">
            <v>80.53005170963219</v>
          </cell>
          <cell r="P95">
            <v>91.584031337874038</v>
          </cell>
          <cell r="Q95">
            <v>99.141765129272883</v>
          </cell>
          <cell r="R95">
            <v>109.94889611373284</v>
          </cell>
          <cell r="S95">
            <v>123.13028933192072</v>
          </cell>
          <cell r="T95">
            <v>139.99474564775099</v>
          </cell>
          <cell r="U95">
            <v>161.59213217569067</v>
          </cell>
          <cell r="V95">
            <v>184.17476594114271</v>
          </cell>
          <cell r="W95">
            <v>213.46881222467056</v>
          </cell>
        </row>
        <row r="96">
          <cell r="C96" t="str">
            <v>Gross Margin</v>
          </cell>
          <cell r="E96" t="str">
            <v>[%]</v>
          </cell>
          <cell r="M96">
            <v>0.85419826292968604</v>
          </cell>
          <cell r="N96">
            <v>0.87821825622518346</v>
          </cell>
          <cell r="O96">
            <v>0.88609188809831774</v>
          </cell>
          <cell r="P96">
            <v>0.89395937974264394</v>
          </cell>
          <cell r="Q96">
            <v>0.89638130149625495</v>
          </cell>
          <cell r="R96">
            <v>0.90055293824423976</v>
          </cell>
          <cell r="S96">
            <v>0.9054007256872505</v>
          </cell>
          <cell r="T96">
            <v>0.91125460928932278</v>
          </cell>
          <cell r="U96">
            <v>0.91791312632462563</v>
          </cell>
          <cell r="V96">
            <v>0.92320964894861146</v>
          </cell>
          <cell r="W96">
            <v>0.92929196187068175</v>
          </cell>
        </row>
        <row r="98">
          <cell r="C98" t="str">
            <v>(+) Waste Processing and WtE</v>
          </cell>
          <cell r="E98" t="str">
            <v>[R$ mm]</v>
          </cell>
          <cell r="M98">
            <v>0.68652062126879798</v>
          </cell>
          <cell r="N98">
            <v>1.2242731980665056</v>
          </cell>
          <cell r="O98">
            <v>16.424906904077375</v>
          </cell>
          <cell r="P98">
            <v>53.563494491093635</v>
          </cell>
          <cell r="Q98">
            <v>135.07700312576543</v>
          </cell>
          <cell r="R98">
            <v>156.50946285028175</v>
          </cell>
          <cell r="S98">
            <v>167.89042434499675</v>
          </cell>
          <cell r="T98">
            <v>194.10636877772575</v>
          </cell>
          <cell r="U98">
            <v>205.31530107190693</v>
          </cell>
          <cell r="V98">
            <v>217.16536649168</v>
          </cell>
          <cell r="W98">
            <v>229.71985119868691</v>
          </cell>
        </row>
        <row r="99">
          <cell r="C99" t="str">
            <v>Waste Processing + New Projects UBM</v>
          </cell>
          <cell r="M99">
            <v>0.68652062126879798</v>
          </cell>
          <cell r="N99">
            <v>1.2242731980665056</v>
          </cell>
          <cell r="O99">
            <v>16.424906904077375</v>
          </cell>
          <cell r="P99">
            <v>53.563494491093635</v>
          </cell>
          <cell r="Q99">
            <v>135.07700312576543</v>
          </cell>
          <cell r="R99">
            <v>171.81295460718133</v>
          </cell>
          <cell r="S99">
            <v>183.95909068974132</v>
          </cell>
          <cell r="T99">
            <v>210.97846843970754</v>
          </cell>
          <cell r="U99">
            <v>223.03100571698781</v>
          </cell>
          <cell r="V99">
            <v>235.76685636901493</v>
          </cell>
          <cell r="W99">
            <v>249.25141556988859</v>
          </cell>
        </row>
        <row r="100">
          <cell r="C100" t="str">
            <v>Gross Margin</v>
          </cell>
          <cell r="E100" t="str">
            <v>[%]</v>
          </cell>
          <cell r="M100">
            <v>1.3314256505868363E-2</v>
          </cell>
          <cell r="N100">
            <v>3.031940340815456E-2</v>
          </cell>
          <cell r="O100">
            <v>0.21285053460018788</v>
          </cell>
          <cell r="P100">
            <v>0.36753385798311045</v>
          </cell>
          <cell r="Q100">
            <v>0.46337975934225362</v>
          </cell>
          <cell r="R100">
            <v>0.46824352792950158</v>
          </cell>
          <cell r="S100">
            <v>0.43669643006508208</v>
          </cell>
          <cell r="T100">
            <v>0.45478321626298585</v>
          </cell>
          <cell r="U100">
            <v>0.4549887846896572</v>
          </cell>
          <cell r="V100">
            <v>0.45500136026037397</v>
          </cell>
          <cell r="W100">
            <v>0.45483501499393136</v>
          </cell>
        </row>
        <row r="102">
          <cell r="C102" t="str">
            <v>(+) Environmental Engineering</v>
          </cell>
          <cell r="E102" t="str">
            <v>[R$ mm]</v>
          </cell>
          <cell r="M102">
            <v>5.444935890420993</v>
          </cell>
          <cell r="N102">
            <v>8.9780357644923505</v>
          </cell>
          <cell r="O102">
            <v>10.102895945942905</v>
          </cell>
          <cell r="P102">
            <v>11.879134203293276</v>
          </cell>
          <cell r="Q102">
            <v>13.770490220000653</v>
          </cell>
          <cell r="R102">
            <v>15.822969210548415</v>
          </cell>
          <cell r="S102">
            <v>17.07579594761841</v>
          </cell>
          <cell r="T102">
            <v>18.427828468947745</v>
          </cell>
          <cell r="U102">
            <v>20.471828831460329</v>
          </cell>
          <cell r="V102">
            <v>22.083616351065928</v>
          </cell>
          <cell r="W102">
            <v>23.822580487744332</v>
          </cell>
        </row>
        <row r="103">
          <cell r="C103" t="str">
            <v>Gross Margin</v>
          </cell>
          <cell r="E103" t="str">
            <v>[%]</v>
          </cell>
          <cell r="M103">
            <v>0.22517391974828124</v>
          </cell>
          <cell r="N103">
            <v>0.22999895772030768</v>
          </cell>
          <cell r="O103">
            <v>0.23149178926977179</v>
          </cell>
          <cell r="P103">
            <v>0.23155216935217865</v>
          </cell>
          <cell r="Q103">
            <v>0.2325449592205141</v>
          </cell>
          <cell r="R103">
            <v>0.23416753846630936</v>
          </cell>
          <cell r="S103">
            <v>0.23523355222935172</v>
          </cell>
          <cell r="T103">
            <v>0.23630014117909234</v>
          </cell>
          <cell r="U103">
            <v>0.23736727750877615</v>
          </cell>
          <cell r="V103">
            <v>0.23843493396023505</v>
          </cell>
          <cell r="W103">
            <v>0.23950308381862401</v>
          </cell>
        </row>
        <row r="109">
          <cell r="C109" t="str">
            <v>% of Net Revenues</v>
          </cell>
          <cell r="E109" t="str">
            <v>[%]</v>
          </cell>
          <cell r="M109">
            <v>0.40941873852862321</v>
          </cell>
          <cell r="N109">
            <v>0.44427623318706422</v>
          </cell>
          <cell r="O109">
            <v>0.43780570211375203</v>
          </cell>
          <cell r="P109">
            <v>0.46039681562621343</v>
          </cell>
          <cell r="Q109">
            <v>0.48353265397934908</v>
          </cell>
          <cell r="R109">
            <v>0.48726483133663001</v>
          </cell>
          <cell r="S109">
            <v>0.48299908084379872</v>
          </cell>
          <cell r="T109">
            <v>0.50750180523422861</v>
          </cell>
          <cell r="U109">
            <v>0.51394771218151214</v>
          </cell>
          <cell r="V109">
            <v>0.52028912132000893</v>
          </cell>
          <cell r="W109">
            <v>0.53008797409190345</v>
          </cell>
        </row>
        <row r="110">
          <cell r="C110" t="str">
            <v>Check</v>
          </cell>
          <cell r="M110">
            <v>159.18080050521922</v>
          </cell>
          <cell r="N110">
            <v>188.66740462044299</v>
          </cell>
          <cell r="O110">
            <v>218.69211013381306</v>
          </cell>
          <cell r="P110">
            <v>279.47921692784701</v>
          </cell>
          <cell r="Q110">
            <v>384.9374508804845</v>
          </cell>
          <cell r="R110">
            <v>458.70765679154823</v>
          </cell>
          <cell r="S110">
            <v>506.51092982858927</v>
          </cell>
          <cell r="T110">
            <v>604.49065819911675</v>
          </cell>
          <cell r="U110">
            <v>658.35270397263741</v>
          </cell>
          <cell r="V110">
            <v>729.82450631117922</v>
          </cell>
          <cell r="W110">
            <v>804.29468932385248</v>
          </cell>
        </row>
        <row r="128">
          <cell r="C128" t="str">
            <v>Selling, General and Administrative</v>
          </cell>
          <cell r="E128" t="str">
            <v>[R$ mm]</v>
          </cell>
          <cell r="M128">
            <v>34.575434309999999</v>
          </cell>
          <cell r="N128">
            <v>32.289077627636502</v>
          </cell>
          <cell r="O128">
            <v>33.818885692017474</v>
          </cell>
          <cell r="P128">
            <v>36.042477426267624</v>
          </cell>
          <cell r="Q128">
            <v>47.267407862154108</v>
          </cell>
          <cell r="R128">
            <v>55.89440674573865</v>
          </cell>
          <cell r="S128">
            <v>62.264419796660178</v>
          </cell>
          <cell r="T128">
            <v>70.721168990800166</v>
          </cell>
          <cell r="U128">
            <v>76.056636425357553</v>
          </cell>
          <cell r="V128">
            <v>83.285831378985193</v>
          </cell>
          <cell r="W128">
            <v>90.087529643256687</v>
          </cell>
        </row>
        <row r="129">
          <cell r="C129" t="str">
            <v>% of Net Revenues</v>
          </cell>
          <cell r="E129" t="str">
            <v>[%]</v>
          </cell>
          <cell r="M129">
            <v>8.8929259397808685E-2</v>
          </cell>
          <cell r="N129">
            <v>7.6034701438494667E-2</v>
          </cell>
          <cell r="O129">
            <v>6.7702949987719696E-2</v>
          </cell>
          <cell r="P129">
            <v>5.9374153172245779E-2</v>
          </cell>
          <cell r="Q129">
            <v>5.9374153172245793E-2</v>
          </cell>
          <cell r="R129">
            <v>5.9374153172245793E-2</v>
          </cell>
          <cell r="S129">
            <v>5.9374153172245779E-2</v>
          </cell>
          <cell r="T129">
            <v>5.9374153172245786E-2</v>
          </cell>
          <cell r="U129">
            <v>5.9374153172245807E-2</v>
          </cell>
          <cell r="V129">
            <v>5.9374153172245807E-2</v>
          </cell>
          <cell r="W129">
            <v>5.9374153172245765E-2</v>
          </cell>
        </row>
        <row r="149">
          <cell r="C149" t="str">
            <v>EBIT</v>
          </cell>
          <cell r="E149" t="str">
            <v>[R$ mm]</v>
          </cell>
          <cell r="M149">
            <v>124.60536619521923</v>
          </cell>
          <cell r="N149">
            <v>156.37832699280648</v>
          </cell>
          <cell r="O149">
            <v>184.87322444179557</v>
          </cell>
          <cell r="P149">
            <v>243.43673950157938</v>
          </cell>
          <cell r="Q149">
            <v>337.67004301833038</v>
          </cell>
          <cell r="R149">
            <v>402.81325004580958</v>
          </cell>
          <cell r="S149">
            <v>444.24651003192912</v>
          </cell>
          <cell r="T149">
            <v>533.7694892083166</v>
          </cell>
          <cell r="U149">
            <v>582.2960675472799</v>
          </cell>
          <cell r="V149">
            <v>646.538674932194</v>
          </cell>
          <cell r="W149">
            <v>714.20715968059585</v>
          </cell>
        </row>
        <row r="150">
          <cell r="C150" t="str">
            <v>EBIT Margin</v>
          </cell>
          <cell r="E150" t="str">
            <v>[%]</v>
          </cell>
          <cell r="M150">
            <v>0.32048947913081455</v>
          </cell>
          <cell r="N150">
            <v>0.36824153174856949</v>
          </cell>
          <cell r="O150">
            <v>0.37010275212603233</v>
          </cell>
          <cell r="P150">
            <v>0.40102266245396762</v>
          </cell>
          <cell r="Q150">
            <v>0.42415850080710327</v>
          </cell>
          <cell r="R150">
            <v>0.42789067816438425</v>
          </cell>
          <cell r="S150">
            <v>0.42362492767155296</v>
          </cell>
          <cell r="T150">
            <v>0.4481276520619828</v>
          </cell>
          <cell r="U150">
            <v>0.45457355900926633</v>
          </cell>
          <cell r="V150">
            <v>0.46091496814776306</v>
          </cell>
          <cell r="W150">
            <v>0.47071382091965774</v>
          </cell>
        </row>
        <row r="172">
          <cell r="C172" t="str">
            <v>EBITDA</v>
          </cell>
          <cell r="E172" t="str">
            <v>[R$ mm]</v>
          </cell>
          <cell r="M172">
            <v>144.44516481517439</v>
          </cell>
          <cell r="N172">
            <v>181.63877072290512</v>
          </cell>
          <cell r="O172">
            <v>225.75003776803555</v>
          </cell>
          <cell r="P172">
            <v>287.02912955717301</v>
          </cell>
          <cell r="Q172">
            <v>386.26646354025837</v>
          </cell>
          <cell r="R172">
            <v>458.43809036677266</v>
          </cell>
          <cell r="S172">
            <v>502.45325519374376</v>
          </cell>
          <cell r="T172">
            <v>593.94520883455061</v>
          </cell>
          <cell r="U172">
            <v>645.7559208417897</v>
          </cell>
          <cell r="V172">
            <v>714.31453597138602</v>
          </cell>
          <cell r="W172">
            <v>786.2079687376422</v>
          </cell>
        </row>
        <row r="173">
          <cell r="C173" t="str">
            <v>EBITDA Margin</v>
          </cell>
          <cell r="E173" t="str">
            <v>[%]</v>
          </cell>
          <cell r="M173">
            <v>0.37151815405808775</v>
          </cell>
          <cell r="N173">
            <v>0.42772512305369947</v>
          </cell>
          <cell r="O173">
            <v>0.45193516001453377</v>
          </cell>
          <cell r="P173">
            <v>0.4728340757953487</v>
          </cell>
          <cell r="Q173">
            <v>0.48520207070428117</v>
          </cell>
          <cell r="R173">
            <v>0.48697848286051992</v>
          </cell>
          <cell r="S173">
            <v>0.47912976035419585</v>
          </cell>
          <cell r="T173">
            <v>0.49864834403192065</v>
          </cell>
          <cell r="U173">
            <v>0.50411394400241927</v>
          </cell>
          <cell r="V173">
            <v>0.50923212231544313</v>
          </cell>
          <cell r="W173">
            <v>0.51816752602631877</v>
          </cell>
        </row>
        <row r="175">
          <cell r="C175" t="str">
            <v>EBITDA PRO FORMA</v>
          </cell>
          <cell r="E175" t="str">
            <v>[R$ mm]</v>
          </cell>
          <cell r="M175">
            <v>145.10791277561418</v>
          </cell>
          <cell r="N175">
            <v>188.43302637260527</v>
          </cell>
          <cell r="O175">
            <v>245.34386150443444</v>
          </cell>
          <cell r="P175">
            <v>317.41298390549514</v>
          </cell>
          <cell r="Q175">
            <v>428.6033188800759</v>
          </cell>
          <cell r="R175">
            <v>507.40686028341884</v>
          </cell>
          <cell r="S175">
            <v>560.01205185721824</v>
          </cell>
          <cell r="T175">
            <v>657.05757622389001</v>
          </cell>
          <cell r="U175">
            <v>713.75492204927787</v>
          </cell>
          <cell r="V175">
            <v>787.53242221369328</v>
          </cell>
          <cell r="W175">
            <v>865.00039343620665</v>
          </cell>
        </row>
        <row r="176">
          <cell r="C176" t="str">
            <v>EBITDA Margin</v>
          </cell>
          <cell r="E176" t="str">
            <v>[%]</v>
          </cell>
          <cell r="M176">
            <v>0.37322276562596823</v>
          </cell>
          <cell r="N176">
            <v>0.44372431652027267</v>
          </cell>
          <cell r="O176">
            <v>0.49116057035402128</v>
          </cell>
          <cell r="P176">
            <v>0.52288656249610266</v>
          </cell>
          <cell r="Q176">
            <v>0.53838279390171739</v>
          </cell>
          <cell r="R176">
            <v>0.53899583870997758</v>
          </cell>
          <cell r="S176">
            <v>0.53401672181096338</v>
          </cell>
          <cell r="T176">
            <v>0.55163450675959202</v>
          </cell>
          <cell r="U176">
            <v>0.55719784703848696</v>
          </cell>
          <cell r="V176">
            <v>0.56142887560132948</v>
          </cell>
          <cell r="W176">
            <v>0.57009739369380663</v>
          </cell>
        </row>
        <row r="178">
          <cell r="C178" t="str">
            <v>EBITDA Consolidated</v>
          </cell>
          <cell r="M178">
            <v>145.03764983993847</v>
          </cell>
          <cell r="N178">
            <v>179.8487963125794</v>
          </cell>
          <cell r="O178">
            <v>209.24810889690184</v>
          </cell>
          <cell r="P178">
            <v>276.06300125151432</v>
          </cell>
          <cell r="Q178">
            <v>384.07681588679708</v>
          </cell>
          <cell r="R178">
            <v>457.78915119084553</v>
          </cell>
          <cell r="S178">
            <v>532.54126508568879</v>
          </cell>
          <cell r="T178">
            <v>605.11324372052479</v>
          </cell>
          <cell r="U178">
            <v>654.73112761567461</v>
          </cell>
          <cell r="V178">
            <v>722.79863121323228</v>
          </cell>
          <cell r="W178">
            <v>792.64554543053873</v>
          </cell>
        </row>
        <row r="179">
          <cell r="C179" t="str">
            <v>New Projects</v>
          </cell>
          <cell r="M179">
            <v>0.59248502476407339</v>
          </cell>
          <cell r="N179">
            <v>-1.7899744103257262</v>
          </cell>
          <cell r="O179">
            <v>-16.501928871133714</v>
          </cell>
          <cell r="P179">
            <v>-10.966128305658685</v>
          </cell>
          <cell r="Q179">
            <v>-2.189647653461293</v>
          </cell>
          <cell r="R179">
            <v>-0.64893917592712569</v>
          </cell>
          <cell r="S179">
            <v>30.088009891945035</v>
          </cell>
          <cell r="T179">
            <v>11.16803488597418</v>
          </cell>
          <cell r="U179">
            <v>8.9752067738849064</v>
          </cell>
          <cell r="V179">
            <v>8.4840952418462621</v>
          </cell>
          <cell r="W179">
            <v>6.4375766928965277</v>
          </cell>
        </row>
        <row r="180">
          <cell r="C180" t="str">
            <v>EBITDA Margin</v>
          </cell>
          <cell r="M180">
            <v>0.37304204683074693</v>
          </cell>
          <cell r="N180">
            <v>0.42351007016673892</v>
          </cell>
          <cell r="O180">
            <v>0.41889949836566454</v>
          </cell>
          <cell r="P180">
            <v>0.45476915273175939</v>
          </cell>
          <cell r="Q180">
            <v>0.48245158192036053</v>
          </cell>
          <cell r="R180">
            <v>0.48628914351022967</v>
          </cell>
          <cell r="S180">
            <v>0.50782110789756785</v>
          </cell>
          <cell r="T180">
            <v>0.50802449863195387</v>
          </cell>
          <cell r="U180">
            <v>0.51112050288789157</v>
          </cell>
          <cell r="V180">
            <v>0.51528040162150057</v>
          </cell>
          <cell r="W180">
            <v>0.52241035148879644</v>
          </cell>
        </row>
        <row r="205">
          <cell r="C205" t="str">
            <v>Financial Results</v>
          </cell>
          <cell r="E205" t="str">
            <v>[R$ mm]</v>
          </cell>
          <cell r="M205">
            <v>-41.074042782422666</v>
          </cell>
          <cell r="N205">
            <v>-33.090959250744277</v>
          </cell>
          <cell r="O205">
            <v>-46.812887456589337</v>
          </cell>
          <cell r="P205">
            <v>-44.522104032852077</v>
          </cell>
          <cell r="Q205">
            <v>-24.423440706929</v>
          </cell>
          <cell r="R205">
            <v>-14.677377329411581</v>
          </cell>
          <cell r="S205">
            <v>-1.8095723446285685</v>
          </cell>
          <cell r="T205">
            <v>4.1855395750049889</v>
          </cell>
          <cell r="U205">
            <v>7.7394702007250524</v>
          </cell>
          <cell r="V205">
            <v>14.026721155650165</v>
          </cell>
          <cell r="W205">
            <v>19.597155560435574</v>
          </cell>
        </row>
        <row r="206">
          <cell r="C206" t="str">
            <v>Financial Expenses</v>
          </cell>
          <cell r="E206" t="str">
            <v>[R$ mm]</v>
          </cell>
          <cell r="M206">
            <v>42.822478943690676</v>
          </cell>
          <cell r="N206">
            <v>46.880193256007963</v>
          </cell>
          <cell r="O206">
            <v>60.235831901071563</v>
          </cell>
          <cell r="P206">
            <v>52.446772162811165</v>
          </cell>
          <cell r="Q206">
            <v>31.651523758190603</v>
          </cell>
          <cell r="R206">
            <v>20.544278146925969</v>
          </cell>
          <cell r="S206">
            <v>9.3422427073977232</v>
          </cell>
          <cell r="T206">
            <v>6.4056537307976145</v>
          </cell>
          <cell r="U206">
            <v>6.7893230499271064</v>
          </cell>
          <cell r="V206">
            <v>4.7360017406621902</v>
          </cell>
          <cell r="W206">
            <v>0</v>
          </cell>
        </row>
        <row r="225">
          <cell r="C225" t="str">
            <v>Net Income</v>
          </cell>
          <cell r="E225" t="str">
            <v>[R$ mm]</v>
          </cell>
          <cell r="M225">
            <v>67.42736374784667</v>
          </cell>
          <cell r="N225">
            <v>98.295471459526127</v>
          </cell>
          <cell r="O225">
            <v>126.60373428304804</v>
          </cell>
          <cell r="P225">
            <v>166.71942281598498</v>
          </cell>
          <cell r="Q225">
            <v>262.65449149343226</v>
          </cell>
          <cell r="R225">
            <v>308.59706414631989</v>
          </cell>
          <cell r="S225">
            <v>334.52199881229041</v>
          </cell>
          <cell r="T225">
            <v>356.03922080000979</v>
          </cell>
          <cell r="U225">
            <v>374.41950912421839</v>
          </cell>
          <cell r="V225">
            <v>362.6311204792579</v>
          </cell>
          <cell r="W225">
            <v>360.12266290396826</v>
          </cell>
        </row>
        <row r="226">
          <cell r="C226" t="str">
            <v>Net Margin</v>
          </cell>
          <cell r="E226" t="str">
            <v>[%]</v>
          </cell>
          <cell r="M226">
            <v>0.17342560233606097</v>
          </cell>
          <cell r="N226">
            <v>0.23146733738792821</v>
          </cell>
          <cell r="O226">
            <v>0.25345146994145162</v>
          </cell>
          <cell r="P226">
            <v>0.27464328908341007</v>
          </cell>
          <cell r="Q226">
            <v>0.32992898732227355</v>
          </cell>
          <cell r="R226">
            <v>0.32780899596051027</v>
          </cell>
          <cell r="S226">
            <v>0.31899374412916531</v>
          </cell>
          <cell r="T226">
            <v>0.29891371328797994</v>
          </cell>
          <cell r="U226">
            <v>0.29229324790396055</v>
          </cell>
          <cell r="V226">
            <v>0.25851834983052463</v>
          </cell>
          <cell r="W226">
            <v>0.23734670306455385</v>
          </cell>
        </row>
        <row r="245">
          <cell r="C245" t="str">
            <v>Dividends</v>
          </cell>
          <cell r="E245" t="str">
            <v>[R$ mm]</v>
          </cell>
        </row>
        <row r="246">
          <cell r="C246" t="str">
            <v>Dividends Payout Ratio</v>
          </cell>
          <cell r="E246" t="str">
            <v>[%]</v>
          </cell>
        </row>
        <row r="265">
          <cell r="C265" t="str">
            <v>CAPEX</v>
          </cell>
          <cell r="E265" t="str">
            <v>[R$ mm]</v>
          </cell>
          <cell r="M265">
            <v>25.774207194731922</v>
          </cell>
          <cell r="N265">
            <v>216.09119183823117</v>
          </cell>
          <cell r="O265">
            <v>261.49274192098511</v>
          </cell>
          <cell r="P265">
            <v>177.32159850771791</v>
          </cell>
          <cell r="Q265">
            <v>62.55604914483407</v>
          </cell>
          <cell r="R265">
            <v>138.58466903751301</v>
          </cell>
          <cell r="S265">
            <v>32.317803083103819</v>
          </cell>
          <cell r="T265">
            <v>25.195617295858778</v>
          </cell>
          <cell r="U265">
            <v>39.62861404674306</v>
          </cell>
          <cell r="V265">
            <v>31.781863146357811</v>
          </cell>
          <cell r="W265">
            <v>37.377294791784145</v>
          </cell>
        </row>
        <row r="267">
          <cell r="C267" t="str">
            <v>% Net Revenues</v>
          </cell>
          <cell r="E267" t="str">
            <v>[%]</v>
          </cell>
          <cell r="M267">
            <v>6.629218701470542E-2</v>
          </cell>
          <cell r="N267">
            <v>0.50885409129325621</v>
          </cell>
          <cell r="O267">
            <v>0.52348945466901997</v>
          </cell>
          <cell r="P267">
            <v>0.29210865906991484</v>
          </cell>
          <cell r="Q267">
            <v>7.8578720766911248E-2</v>
          </cell>
          <cell r="R267">
            <v>0.14721235711810485</v>
          </cell>
          <cell r="S267">
            <v>3.0817635444337802E-2</v>
          </cell>
          <cell r="T267">
            <v>2.1153050238581446E-2</v>
          </cell>
          <cell r="U267">
            <v>3.0936358889921457E-2</v>
          </cell>
          <cell r="V267">
            <v>2.2657169644671862E-2</v>
          </cell>
          <cell r="W267">
            <v>2.4634322141141016E-2</v>
          </cell>
        </row>
        <row r="268">
          <cell r="C268" t="str">
            <v>Change in Working Capital</v>
          </cell>
          <cell r="E268" t="str">
            <v>[R$ mm]</v>
          </cell>
          <cell r="M268">
            <v>31.178341989859035</v>
          </cell>
          <cell r="N268">
            <v>7.0831060112100772</v>
          </cell>
          <cell r="O268">
            <v>-7.7145935644668953</v>
          </cell>
          <cell r="P268">
            <v>-6.5170268625487608</v>
          </cell>
          <cell r="Q268">
            <v>-0.46305492819135452</v>
          </cell>
          <cell r="R268">
            <v>4.6996715728903098</v>
          </cell>
          <cell r="S268">
            <v>-1.3167350068524968</v>
          </cell>
          <cell r="T268">
            <v>13.190734943226516</v>
          </cell>
          <cell r="U268">
            <v>7.3485480759397035</v>
          </cell>
          <cell r="V268">
            <v>8.1679506344648019</v>
          </cell>
          <cell r="W268">
            <v>11.635472911703403</v>
          </cell>
        </row>
        <row r="287">
          <cell r="C287" t="str">
            <v>Net Debt</v>
          </cell>
          <cell r="E287" t="str">
            <v>[R$ mm]</v>
          </cell>
          <cell r="L287">
            <v>465.17586450462557</v>
          </cell>
          <cell r="M287">
            <v>-263.74211935272149</v>
          </cell>
          <cell r="N287">
            <v>-160.26037564724078</v>
          </cell>
          <cell r="O287">
            <v>164.09598541672784</v>
          </cell>
          <cell r="P287">
            <v>207.95667475633496</v>
          </cell>
          <cell r="Q287">
            <v>203.59406660456744</v>
          </cell>
          <cell r="R287">
            <v>109.58085070050655</v>
          </cell>
          <cell r="S287">
            <v>-22.858648084791128</v>
          </cell>
          <cell r="T287">
            <v>-160.15905486426436</v>
          </cell>
          <cell r="U287">
            <v>-307.62479131508212</v>
          </cell>
          <cell r="V287">
            <v>-454.72433734736438</v>
          </cell>
          <cell r="W287">
            <v>-588.7832212340943</v>
          </cell>
        </row>
        <row r="289">
          <cell r="C289" t="str">
            <v>ROIC</v>
          </cell>
          <cell r="E289" t="str">
            <v>[R$ mm]</v>
          </cell>
          <cell r="M289">
            <v>0.18253304540000395</v>
          </cell>
          <cell r="N289">
            <v>0.16649409252359293</v>
          </cell>
          <cell r="O289">
            <v>0.15090768711711833</v>
          </cell>
          <cell r="P289">
            <v>0.17280221417320618</v>
          </cell>
          <cell r="Q289">
            <v>0.2307186069856936</v>
          </cell>
          <cell r="R289">
            <v>0.25514478652464834</v>
          </cell>
          <cell r="S289">
            <v>0.28787625548354612</v>
          </cell>
          <cell r="T289">
            <v>0.35239954012417457</v>
          </cell>
          <cell r="U289">
            <v>0.38999829823223831</v>
          </cell>
          <cell r="V289">
            <v>0.39168295545159643</v>
          </cell>
          <cell r="W289">
            <v>0.43371392549591081</v>
          </cell>
        </row>
        <row r="306">
          <cell r="C306" t="str">
            <v>COGS</v>
          </cell>
          <cell r="E306" t="str">
            <v>[R$ mm]</v>
          </cell>
          <cell r="M306">
            <v>209.7764575930554</v>
          </cell>
          <cell r="N306">
            <v>210.73453628123735</v>
          </cell>
          <cell r="O306">
            <v>239.94971934874201</v>
          </cell>
          <cell r="P306">
            <v>283.96824959704088</v>
          </cell>
          <cell r="Q306">
            <v>362.56014150974244</v>
          </cell>
          <cell r="R306">
            <v>427.06041140759299</v>
          </cell>
          <cell r="S306">
            <v>483.96119401223541</v>
          </cell>
          <cell r="T306">
            <v>526.44398269863711</v>
          </cell>
          <cell r="U306">
            <v>559.15958905914192</v>
          </cell>
          <cell r="V306">
            <v>605.12837788951538</v>
          </cell>
          <cell r="W306">
            <v>640.98979884112111</v>
          </cell>
        </row>
        <row r="307">
          <cell r="C307" t="str">
            <v>Waste Treatment and Disposal</v>
          </cell>
          <cell r="E307" t="str">
            <v>[R$ mm]</v>
          </cell>
          <cell r="M307">
            <v>130.36930197448362</v>
          </cell>
          <cell r="N307">
            <v>131.65946109141908</v>
          </cell>
          <cell r="O307">
            <v>135.31633826316056</v>
          </cell>
          <cell r="P307">
            <v>141.50749463273189</v>
          </cell>
          <cell r="Q307">
            <v>149.22682075975149</v>
          </cell>
          <cell r="R307">
            <v>157.37805688460566</v>
          </cell>
          <cell r="S307">
            <v>166.51335070086128</v>
          </cell>
          <cell r="T307">
            <v>176.18867441434031</v>
          </cell>
          <cell r="U307">
            <v>186.43650420722548</v>
          </cell>
          <cell r="V307">
            <v>197.29130003149993</v>
          </cell>
          <cell r="W307">
            <v>208.78962846485297</v>
          </cell>
        </row>
        <row r="308">
          <cell r="C308" t="str">
            <v>Waste Treatment and Disposal + New Ecoparks</v>
          </cell>
          <cell r="M308">
            <v>130.36930197448362</v>
          </cell>
          <cell r="N308">
            <v>131.65946109141908</v>
          </cell>
          <cell r="O308">
            <v>135.31633826316056</v>
          </cell>
          <cell r="P308">
            <v>141.50749463273189</v>
          </cell>
          <cell r="Q308">
            <v>149.22682075975149</v>
          </cell>
          <cell r="R308">
            <v>168.05289120588961</v>
          </cell>
          <cell r="S308">
            <v>178.28855362315758</v>
          </cell>
          <cell r="T308">
            <v>200.321642321967</v>
          </cell>
          <cell r="U308">
            <v>211.77612051023351</v>
          </cell>
          <cell r="V308">
            <v>236.87322498489351</v>
          </cell>
          <cell r="W308">
            <v>250.35064966591622</v>
          </cell>
        </row>
        <row r="309">
          <cell r="C309" t="str">
            <v>(+) Energy, Biogas and CERs</v>
          </cell>
          <cell r="E309" t="str">
            <v>[R$ mm]</v>
          </cell>
          <cell r="M309">
            <v>9.7947677058866276</v>
          </cell>
          <cell r="N309">
            <v>9.8630710004361966</v>
          </cell>
          <cell r="O309">
            <v>10.352229001075388</v>
          </cell>
          <cell r="P309">
            <v>10.863611601159233</v>
          </cell>
          <cell r="Q309">
            <v>11.46045845993377</v>
          </cell>
          <cell r="R309">
            <v>12.14153460330459</v>
          </cell>
          <cell r="S309">
            <v>12.865061498461948</v>
          </cell>
          <cell r="T309">
            <v>13.6338277725045</v>
          </cell>
          <cell r="U309">
            <v>14.45081518111901</v>
          </cell>
          <cell r="V309">
            <v>15.319212648539905</v>
          </cell>
          <cell r="W309">
            <v>16.242431370887822</v>
          </cell>
        </row>
        <row r="310">
          <cell r="C310" t="str">
            <v>(+) Waste Processing and WtE</v>
          </cell>
          <cell r="E310" t="str">
            <v>[R$ mm]</v>
          </cell>
          <cell r="M310">
            <v>50.876300101481185</v>
          </cell>
          <cell r="N310">
            <v>39.154924953874414</v>
          </cell>
          <cell r="O310">
            <v>60.741480932013488</v>
          </cell>
          <cell r="P310">
            <v>92.174084041208786</v>
          </cell>
          <cell r="Q310">
            <v>156.4268884501227</v>
          </cell>
          <cell r="R310">
            <v>170.27010226017575</v>
          </cell>
          <cell r="S310">
            <v>211.20246634573851</v>
          </cell>
          <cell r="T310">
            <v>225.53690690870403</v>
          </cell>
          <cell r="U310">
            <v>238.39478663113445</v>
          </cell>
          <cell r="V310">
            <v>252.19796847043904</v>
          </cell>
          <cell r="W310">
            <v>267.03993383737748</v>
          </cell>
        </row>
        <row r="311">
          <cell r="C311" t="str">
            <v>(+) Waste Processing and WtE + New UBM</v>
          </cell>
          <cell r="M311">
            <v>50.876300101481185</v>
          </cell>
          <cell r="N311">
            <v>39.154924953874414</v>
          </cell>
          <cell r="O311">
            <v>60.741480932013488</v>
          </cell>
          <cell r="P311">
            <v>92.174084041208786</v>
          </cell>
          <cell r="Q311">
            <v>156.4268884501227</v>
          </cell>
          <cell r="R311">
            <v>195.11780761159588</v>
          </cell>
          <cell r="S311">
            <v>237.29255696472964</v>
          </cell>
          <cell r="T311">
            <v>252.9315020586447</v>
          </cell>
          <cell r="U311">
            <v>267.15911153857218</v>
          </cell>
          <cell r="V311">
            <v>282.40050962324864</v>
          </cell>
          <cell r="W311">
            <v>298.75260204782757</v>
          </cell>
        </row>
        <row r="312">
          <cell r="C312" t="str">
            <v>(+) Environmental Engineering</v>
          </cell>
          <cell r="E312" t="str">
            <v>[R$ mm]</v>
          </cell>
          <cell r="M312">
            <v>18.736087811204001</v>
          </cell>
          <cell r="N312">
            <v>30.057079235507661</v>
          </cell>
          <cell r="O312">
            <v>33.539671152492588</v>
          </cell>
          <cell r="P312">
            <v>39.42305932194094</v>
          </cell>
          <cell r="Q312">
            <v>45.445973839934474</v>
          </cell>
          <cell r="R312">
            <v>51.748177986802894</v>
          </cell>
          <cell r="S312">
            <v>55.515021925886224</v>
          </cell>
          <cell r="T312">
            <v>59.55701054552096</v>
          </cell>
          <cell r="U312">
            <v>65.773541829217308</v>
          </cell>
          <cell r="V312">
            <v>70.535430632833339</v>
          </cell>
          <cell r="W312">
            <v>75.644115756489427</v>
          </cell>
        </row>
        <row r="313">
          <cell r="C313" t="str">
            <v>New UBMs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24.847705351420124</v>
          </cell>
          <cell r="S313">
            <v>26.09009061899113</v>
          </cell>
          <cell r="T313">
            <v>27.394595149940685</v>
          </cell>
          <cell r="U313">
            <v>28.764324907437725</v>
          </cell>
          <cell r="V313">
            <v>30.202541152809616</v>
          </cell>
          <cell r="W313">
            <v>31.712668210450097</v>
          </cell>
        </row>
        <row r="314">
          <cell r="C314" t="str">
            <v>New Ecoparks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10.674834321283949</v>
          </cell>
          <cell r="S314">
            <v>11.775202922296314</v>
          </cell>
          <cell r="T314">
            <v>24.132967907626686</v>
          </cell>
          <cell r="U314">
            <v>25.339616303008022</v>
          </cell>
          <cell r="V314">
            <v>39.581924953393575</v>
          </cell>
          <cell r="W314">
            <v>41.561021201063255</v>
          </cell>
        </row>
        <row r="315">
          <cell r="C315" t="str">
            <v>Check</v>
          </cell>
          <cell r="M315">
            <v>-209.7764575930554</v>
          </cell>
          <cell r="N315">
            <v>-210.73453628123735</v>
          </cell>
          <cell r="O315">
            <v>-239.94971934874201</v>
          </cell>
          <cell r="P315">
            <v>-283.96824959704088</v>
          </cell>
          <cell r="Q315">
            <v>-362.56014150974244</v>
          </cell>
          <cell r="R315">
            <v>-427.06041140759294</v>
          </cell>
          <cell r="S315">
            <v>-483.96119401223547</v>
          </cell>
          <cell r="T315">
            <v>-526.44398269863711</v>
          </cell>
          <cell r="U315">
            <v>-559.15958905914204</v>
          </cell>
          <cell r="V315">
            <v>-605.12837788951549</v>
          </cell>
          <cell r="W315">
            <v>-640.98979884112111</v>
          </cell>
        </row>
        <row r="316">
          <cell r="C316" t="str">
            <v>D&amp;A</v>
          </cell>
          <cell r="E316" t="str">
            <v>[R$ mm]</v>
          </cell>
          <cell r="M316">
            <v>19.839798619955154</v>
          </cell>
          <cell r="N316">
            <v>25.260443730098643</v>
          </cell>
          <cell r="O316">
            <v>40.876813326239969</v>
          </cell>
          <cell r="P316">
            <v>43.592390055593619</v>
          </cell>
          <cell r="Q316">
            <v>48.596420521927975</v>
          </cell>
          <cell r="R316">
            <v>55.624840320963095</v>
          </cell>
          <cell r="S316">
            <v>58.206745161814666</v>
          </cell>
          <cell r="T316">
            <v>60.175719626234027</v>
          </cell>
          <cell r="U316">
            <v>63.459853294509763</v>
          </cell>
          <cell r="V316">
            <v>67.775861039192066</v>
          </cell>
          <cell r="W316">
            <v>72.000809057046396</v>
          </cell>
        </row>
        <row r="317">
          <cell r="C317" t="str">
            <v>Total COGS</v>
          </cell>
          <cell r="M317">
            <v>229.61625621301056</v>
          </cell>
          <cell r="N317">
            <v>235.994980011336</v>
          </cell>
          <cell r="O317">
            <v>280.82653267498199</v>
          </cell>
          <cell r="P317">
            <v>327.56063965263451</v>
          </cell>
          <cell r="Q317">
            <v>411.15656203167043</v>
          </cell>
          <cell r="R317">
            <v>482.68525172855607</v>
          </cell>
          <cell r="S317">
            <v>542.16793917405005</v>
          </cell>
          <cell r="T317">
            <v>586.61970232487113</v>
          </cell>
          <cell r="U317">
            <v>622.61944235365172</v>
          </cell>
          <cell r="V317">
            <v>672.9042389287074</v>
          </cell>
          <cell r="W317">
            <v>712.99060789816747</v>
          </cell>
        </row>
        <row r="334">
          <cell r="C334" t="str">
            <v>Operating Cash Flow</v>
          </cell>
          <cell r="E334" t="str">
            <v>[R$ mm]</v>
          </cell>
          <cell r="M334">
            <v>97.762160034023481</v>
          </cell>
          <cell r="N334">
            <v>136.29235798854444</v>
          </cell>
          <cell r="O334">
            <v>212.58785471329418</v>
          </cell>
          <cell r="P334">
            <v>275.17719100975125</v>
          </cell>
          <cell r="Q334">
            <v>340.53437867124978</v>
          </cell>
          <cell r="R334">
            <v>422.25657488031197</v>
          </cell>
          <cell r="S334">
            <v>468.37088443257772</v>
          </cell>
          <cell r="T334">
            <v>533.35772976410715</v>
          </cell>
          <cell r="U334">
            <v>588.87899845921663</v>
          </cell>
          <cell r="V334">
            <v>590.66661213261125</v>
          </cell>
          <cell r="W334">
            <v>632.36501394375989</v>
          </cell>
        </row>
        <row r="351">
          <cell r="M351">
            <v>5316.8805905866666</v>
          </cell>
          <cell r="N351">
            <v>5558.6337994454661</v>
          </cell>
          <cell r="O351">
            <v>5552.0133064371494</v>
          </cell>
          <cell r="P351">
            <v>5635.293506033704</v>
          </cell>
          <cell r="Q351">
            <v>5719.82290862421</v>
          </cell>
          <cell r="R351">
            <v>6180.820252253573</v>
          </cell>
          <cell r="S351">
            <v>6376.7125560373752</v>
          </cell>
          <cell r="T351">
            <v>6849.983284377935</v>
          </cell>
          <cell r="U351">
            <v>6957.0774744436039</v>
          </cell>
          <cell r="V351">
            <v>7441.0649661762582</v>
          </cell>
          <cell r="W351">
            <v>7660.3628968772209</v>
          </cell>
        </row>
        <row r="352">
          <cell r="C352" t="str">
            <v>Waste Treatment &amp; Disposal</v>
          </cell>
          <cell r="M352">
            <v>443.0733825488889</v>
          </cell>
          <cell r="N352">
            <v>463.21948328712222</v>
          </cell>
          <cell r="O352">
            <v>462.66777553642908</v>
          </cell>
          <cell r="P352">
            <v>469.60779216947537</v>
          </cell>
          <cell r="Q352">
            <v>476.65190905201752</v>
          </cell>
          <cell r="R352">
            <v>515.06835435446442</v>
          </cell>
          <cell r="S352">
            <v>531.39271300311464</v>
          </cell>
          <cell r="T352">
            <v>570.83194036482791</v>
          </cell>
          <cell r="U352">
            <v>579.75645620363366</v>
          </cell>
          <cell r="V352">
            <v>620.08874718135485</v>
          </cell>
          <cell r="W352">
            <v>638.36357473976841</v>
          </cell>
        </row>
        <row r="353">
          <cell r="C353" t="str">
            <v>Nova Iguaçu Ecopark</v>
          </cell>
          <cell r="M353">
            <v>123.99938574333333</v>
          </cell>
          <cell r="N353">
            <v>139.35937652948334</v>
          </cell>
          <cell r="O353">
            <v>141.44976717742557</v>
          </cell>
          <cell r="P353">
            <v>143.57151368508693</v>
          </cell>
          <cell r="Q353">
            <v>145.72508639036323</v>
          </cell>
          <cell r="R353">
            <v>147.91096268621865</v>
          </cell>
          <cell r="S353">
            <v>150.12962712651193</v>
          </cell>
          <cell r="T353">
            <v>152.38157153340958</v>
          </cell>
          <cell r="U353">
            <v>154.66729510641071</v>
          </cell>
          <cell r="V353">
            <v>156.98730453300686</v>
          </cell>
          <cell r="W353">
            <v>159.34211410100193</v>
          </cell>
        </row>
        <row r="354">
          <cell r="C354" t="str">
            <v>Public</v>
          </cell>
          <cell r="M354">
            <v>111.86961025833334</v>
          </cell>
          <cell r="N354">
            <v>113.54765441220833</v>
          </cell>
          <cell r="O354">
            <v>115.25086922839145</v>
          </cell>
          <cell r="P354">
            <v>116.9796322668173</v>
          </cell>
          <cell r="Q354">
            <v>118.73432675081955</v>
          </cell>
          <cell r="R354">
            <v>120.51534165208183</v>
          </cell>
          <cell r="S354">
            <v>122.32307177686305</v>
          </cell>
          <cell r="T354">
            <v>124.15791785351598</v>
          </cell>
          <cell r="U354">
            <v>126.0202866213187</v>
          </cell>
          <cell r="V354">
            <v>127.91059092063847</v>
          </cell>
          <cell r="W354">
            <v>129.82924978444802</v>
          </cell>
        </row>
        <row r="355">
          <cell r="C355" t="str">
            <v>Private</v>
          </cell>
          <cell r="M355">
            <v>12.129775484999996</v>
          </cell>
          <cell r="N355">
            <v>25.811722117275</v>
          </cell>
          <cell r="O355">
            <v>26.198897949034123</v>
          </cell>
          <cell r="P355">
            <v>26.591881418269633</v>
          </cell>
          <cell r="Q355">
            <v>26.990759639543676</v>
          </cell>
          <cell r="R355">
            <v>27.395621034136827</v>
          </cell>
          <cell r="S355">
            <v>27.806555349648878</v>
          </cell>
          <cell r="T355">
            <v>28.223653679893609</v>
          </cell>
          <cell r="U355">
            <v>28.647008485092009</v>
          </cell>
          <cell r="V355">
            <v>29.076713612368387</v>
          </cell>
          <cell r="W355">
            <v>29.512864316553909</v>
          </cell>
        </row>
        <row r="356">
          <cell r="C356" t="str">
            <v>São Gonçalo Ecopark</v>
          </cell>
          <cell r="M356">
            <v>56.695241750000001</v>
          </cell>
          <cell r="N356">
            <v>57.545670376250001</v>
          </cell>
          <cell r="O356">
            <v>58.408855431893748</v>
          </cell>
          <cell r="P356">
            <v>59.284988263372156</v>
          </cell>
          <cell r="Q356">
            <v>60.174263087322736</v>
          </cell>
          <cell r="R356">
            <v>61.076877033632563</v>
          </cell>
          <cell r="S356">
            <v>61.993030189137052</v>
          </cell>
          <cell r="T356">
            <v>62.922925641974103</v>
          </cell>
          <cell r="U356">
            <v>63.866769526603704</v>
          </cell>
          <cell r="V356">
            <v>64.824771069502759</v>
          </cell>
          <cell r="W356">
            <v>65.797142635545299</v>
          </cell>
        </row>
        <row r="357">
          <cell r="C357" t="str">
            <v>Public</v>
          </cell>
          <cell r="M357">
            <v>51.655538333333332</v>
          </cell>
          <cell r="N357">
            <v>52.430371408333336</v>
          </cell>
          <cell r="O357">
            <v>53.216826979458332</v>
          </cell>
          <cell r="P357">
            <v>54.015079384150205</v>
          </cell>
          <cell r="Q357">
            <v>54.825305574912456</v>
          </cell>
          <cell r="R357">
            <v>55.647685158536135</v>
          </cell>
          <cell r="S357">
            <v>56.482400435914172</v>
          </cell>
          <cell r="T357">
            <v>57.32963644245288</v>
          </cell>
          <cell r="U357">
            <v>58.18958098908967</v>
          </cell>
          <cell r="V357">
            <v>59.062424703926013</v>
          </cell>
          <cell r="W357">
            <v>59.9483610744849</v>
          </cell>
        </row>
        <row r="358">
          <cell r="C358" t="str">
            <v>Private</v>
          </cell>
          <cell r="M358">
            <v>5.0397034166666677</v>
          </cell>
          <cell r="N358">
            <v>5.1152989679166678</v>
          </cell>
          <cell r="O358">
            <v>5.1920284524354177</v>
          </cell>
          <cell r="P358">
            <v>5.2699088792219486</v>
          </cell>
          <cell r="Q358">
            <v>5.3489575124102773</v>
          </cell>
          <cell r="R358">
            <v>5.4291918750964312</v>
          </cell>
          <cell r="S358">
            <v>5.5106297532228767</v>
          </cell>
          <cell r="T358">
            <v>5.5932891995212195</v>
          </cell>
          <cell r="U358">
            <v>5.677188537514037</v>
          </cell>
          <cell r="V358">
            <v>5.7623463655767466</v>
          </cell>
          <cell r="W358">
            <v>5.848781561060397</v>
          </cell>
        </row>
        <row r="359">
          <cell r="C359" t="str">
            <v>Barra Mansa Ecopark</v>
          </cell>
          <cell r="M359">
            <v>35.444058333333331</v>
          </cell>
          <cell r="N359">
            <v>35.975719208333338</v>
          </cell>
          <cell r="O359">
            <v>29.015354996458335</v>
          </cell>
          <cell r="P359">
            <v>29.450585321405207</v>
          </cell>
          <cell r="Q359">
            <v>29.892344101226286</v>
          </cell>
          <cell r="R359">
            <v>30.340729262744674</v>
          </cell>
          <cell r="S359">
            <v>30.795840201685841</v>
          </cell>
          <cell r="T359">
            <v>31.257777804711129</v>
          </cell>
          <cell r="U359">
            <v>31.726644471781793</v>
          </cell>
          <cell r="V359">
            <v>32.202544138858514</v>
          </cell>
          <cell r="W359">
            <v>32.685582300941391</v>
          </cell>
        </row>
        <row r="360">
          <cell r="C360" t="str">
            <v>Public</v>
          </cell>
          <cell r="M360">
            <v>13.871621666666664</v>
          </cell>
          <cell r="N360">
            <v>14.079695991666666</v>
          </cell>
          <cell r="O360">
            <v>14.290891431541665</v>
          </cell>
          <cell r="P360">
            <v>14.505254803014788</v>
          </cell>
          <cell r="Q360">
            <v>14.722833625060009</v>
          </cell>
          <cell r="R360">
            <v>14.943676129435907</v>
          </cell>
          <cell r="S360">
            <v>15.167831271377445</v>
          </cell>
          <cell r="T360">
            <v>15.395348740448105</v>
          </cell>
          <cell r="U360">
            <v>15.626278971554825</v>
          </cell>
          <cell r="V360">
            <v>15.860673156128145</v>
          </cell>
          <cell r="W360">
            <v>16.098583253470068</v>
          </cell>
        </row>
        <row r="361">
          <cell r="C361" t="str">
            <v>Private</v>
          </cell>
          <cell r="M361">
            <v>21.572436666666665</v>
          </cell>
          <cell r="N361">
            <v>21.896023216666674</v>
          </cell>
          <cell r="O361">
            <v>14.724463564916672</v>
          </cell>
          <cell r="P361">
            <v>14.945330518390421</v>
          </cell>
          <cell r="Q361">
            <v>15.169510476166275</v>
          </cell>
          <cell r="R361">
            <v>15.397053133308768</v>
          </cell>
          <cell r="S361">
            <v>15.628008930308399</v>
          </cell>
          <cell r="T361">
            <v>15.862429064263024</v>
          </cell>
          <cell r="U361">
            <v>16.100365500226967</v>
          </cell>
          <cell r="V361">
            <v>16.34187098273037</v>
          </cell>
          <cell r="W361">
            <v>16.586999047471323</v>
          </cell>
        </row>
        <row r="362">
          <cell r="C362" t="str">
            <v>Ecopesa Ecopark</v>
          </cell>
          <cell r="M362">
            <v>125.25671305555555</v>
          </cell>
          <cell r="N362">
            <v>127.13556375138887</v>
          </cell>
          <cell r="O362">
            <v>129.0425972076597</v>
          </cell>
          <cell r="P362">
            <v>130.97823616577458</v>
          </cell>
          <cell r="Q362">
            <v>132.9429097082612</v>
          </cell>
          <cell r="R362">
            <v>134.93705335388509</v>
          </cell>
          <cell r="S362">
            <v>136.96110915419334</v>
          </cell>
          <cell r="T362">
            <v>139.01552579150624</v>
          </cell>
          <cell r="U362">
            <v>141.10075867837881</v>
          </cell>
          <cell r="V362">
            <v>143.21727005855448</v>
          </cell>
          <cell r="W362">
            <v>145.3655291094328</v>
          </cell>
        </row>
        <row r="363">
          <cell r="C363" t="str">
            <v>Public</v>
          </cell>
          <cell r="M363">
            <v>114.99555916666667</v>
          </cell>
          <cell r="N363">
            <v>116.72049255416665</v>
          </cell>
          <cell r="O363">
            <v>118.47129994247915</v>
          </cell>
          <cell r="P363">
            <v>120.24836944161632</v>
          </cell>
          <cell r="Q363">
            <v>122.05209498324055</v>
          </cell>
          <cell r="R363">
            <v>123.88287640798914</v>
          </cell>
          <cell r="S363">
            <v>125.74111955410896</v>
          </cell>
          <cell r="T363">
            <v>127.62723634742059</v>
          </cell>
          <cell r="U363">
            <v>129.54164489263189</v>
          </cell>
          <cell r="V363">
            <v>131.48476956602136</v>
          </cell>
          <cell r="W363">
            <v>133.45704110951166</v>
          </cell>
        </row>
        <row r="364">
          <cell r="A364" t="str">
            <v>x</v>
          </cell>
          <cell r="C364" t="str">
            <v>Private</v>
          </cell>
          <cell r="M364">
            <v>10.261153888888888</v>
          </cell>
          <cell r="N364">
            <v>10.41507119722222</v>
          </cell>
          <cell r="O364">
            <v>10.571297265180553</v>
          </cell>
          <cell r="P364">
            <v>10.72986672415826</v>
          </cell>
          <cell r="Q364">
            <v>10.890814725020633</v>
          </cell>
          <cell r="R364">
            <v>11.054176945895941</v>
          </cell>
          <cell r="S364">
            <v>11.219989600084379</v>
          </cell>
          <cell r="T364">
            <v>11.388289444085643</v>
          </cell>
          <cell r="U364">
            <v>11.559113785746927</v>
          </cell>
          <cell r="V364">
            <v>11.732500492533131</v>
          </cell>
          <cell r="W364">
            <v>11.908487999921126</v>
          </cell>
        </row>
        <row r="365">
          <cell r="C365" t="str">
            <v>João Pessoa</v>
          </cell>
          <cell r="M365">
            <v>48.943249499999993</v>
          </cell>
          <cell r="N365">
            <v>49.677398242500004</v>
          </cell>
          <cell r="O365">
            <v>50.4225592161375</v>
          </cell>
          <cell r="P365">
            <v>51.178897604379557</v>
          </cell>
          <cell r="Q365">
            <v>51.946581068445241</v>
          </cell>
          <cell r="R365">
            <v>52.725779784471918</v>
          </cell>
          <cell r="S365">
            <v>53.516666481238993</v>
          </cell>
          <cell r="T365">
            <v>54.319416478457569</v>
          </cell>
          <cell r="U365">
            <v>55.134207725634433</v>
          </cell>
          <cell r="V365">
            <v>55.961220841518937</v>
          </cell>
          <cell r="W365">
            <v>56.80063915414172</v>
          </cell>
        </row>
        <row r="366">
          <cell r="C366" t="str">
            <v>Public</v>
          </cell>
          <cell r="M366">
            <v>47.80888616666666</v>
          </cell>
          <cell r="N366">
            <v>48.526019459166669</v>
          </cell>
          <cell r="O366">
            <v>49.253909751054167</v>
          </cell>
          <cell r="P366">
            <v>49.992718397319976</v>
          </cell>
          <cell r="Q366">
            <v>50.742609173279767</v>
          </cell>
          <cell r="R366">
            <v>51.503748310878962</v>
          </cell>
          <cell r="S366">
            <v>52.276304535542138</v>
          </cell>
          <cell r="T366">
            <v>53.060449103575266</v>
          </cell>
          <cell r="U366">
            <v>53.856355840128892</v>
          </cell>
          <cell r="V366">
            <v>54.664201177730817</v>
          </cell>
          <cell r="W366">
            <v>55.484164195396772</v>
          </cell>
        </row>
        <row r="367">
          <cell r="C367" t="str">
            <v>Private</v>
          </cell>
          <cell r="M367">
            <v>1.1343633333333332</v>
          </cell>
          <cell r="N367">
            <v>1.1513787833333335</v>
          </cell>
          <cell r="O367">
            <v>1.1686494650833334</v>
          </cell>
          <cell r="P367">
            <v>1.1861792070595834</v>
          </cell>
          <cell r="Q367">
            <v>1.203971895165477</v>
          </cell>
          <cell r="R367">
            <v>1.2220314735929589</v>
          </cell>
          <cell r="S367">
            <v>1.2403619456968531</v>
          </cell>
          <cell r="T367">
            <v>1.2589673748823058</v>
          </cell>
          <cell r="U367">
            <v>1.2778518855055403</v>
          </cell>
          <cell r="V367">
            <v>1.2970196637881233</v>
          </cell>
          <cell r="W367">
            <v>1.3164749587449449</v>
          </cell>
        </row>
        <row r="368">
          <cell r="C368" t="str">
            <v>Jardim Gramacho Waste Treatment Station</v>
          </cell>
          <cell r="M368">
            <v>52.734734166666655</v>
          </cell>
          <cell r="N368">
            <v>53.525755179166659</v>
          </cell>
          <cell r="O368">
            <v>54.328641506854154</v>
          </cell>
          <cell r="P368">
            <v>55.143571129456966</v>
          </cell>
          <cell r="Q368">
            <v>55.970724696398818</v>
          </cell>
          <cell r="R368">
            <v>56.810285566844797</v>
          </cell>
          <cell r="S368">
            <v>57.662439850347461</v>
          </cell>
          <cell r="T368">
            <v>58.527376448102665</v>
          </cell>
          <cell r="U368">
            <v>59.405287094824203</v>
          </cell>
          <cell r="V368">
            <v>60.296366401246559</v>
          </cell>
          <cell r="W368">
            <v>61.200811897265254</v>
          </cell>
        </row>
        <row r="369">
          <cell r="C369" t="str">
            <v>Public</v>
          </cell>
          <cell r="M369">
            <v>51.382864999999988</v>
          </cell>
          <cell r="N369">
            <v>52.153607974999993</v>
          </cell>
          <cell r="O369">
            <v>52.935912094624989</v>
          </cell>
          <cell r="P369">
            <v>53.729950776044362</v>
          </cell>
          <cell r="Q369">
            <v>54.535900037685025</v>
          </cell>
          <cell r="R369">
            <v>55.353938538250297</v>
          </cell>
          <cell r="S369">
            <v>56.184247616324043</v>
          </cell>
          <cell r="T369">
            <v>57.027011330568897</v>
          </cell>
          <cell r="U369">
            <v>57.882416500527427</v>
          </cell>
          <cell r="V369">
            <v>58.750652748035336</v>
          </cell>
          <cell r="W369">
            <v>59.631912539255858</v>
          </cell>
        </row>
        <row r="370">
          <cell r="C370" t="str">
            <v>Private</v>
          </cell>
          <cell r="M370">
            <v>1.3518691666666662</v>
          </cell>
          <cell r="N370">
            <v>1.3721472041666665</v>
          </cell>
          <cell r="O370">
            <v>1.3927294122291662</v>
          </cell>
          <cell r="P370">
            <v>1.4136203534126035</v>
          </cell>
          <cell r="Q370">
            <v>1.4348246587137925</v>
          </cell>
          <cell r="R370">
            <v>1.4563470285944993</v>
          </cell>
          <cell r="S370">
            <v>1.4781922340234166</v>
          </cell>
          <cell r="T370">
            <v>1.5003651175337678</v>
          </cell>
          <cell r="U370">
            <v>1.5228705942967742</v>
          </cell>
          <cell r="V370">
            <v>1.5457136532112257</v>
          </cell>
          <cell r="W370">
            <v>1.568899358009394</v>
          </cell>
        </row>
        <row r="371">
          <cell r="C371" t="str">
            <v>New Ecoparks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31.266666666666666</v>
          </cell>
          <cell r="S371">
            <v>40.334000000000003</v>
          </cell>
          <cell r="T371">
            <v>72.407346666666669</v>
          </cell>
          <cell r="U371">
            <v>73.855493600000003</v>
          </cell>
          <cell r="V371">
            <v>106.59927013866668</v>
          </cell>
          <cell r="W371">
            <v>117.17175554144001</v>
          </cell>
        </row>
        <row r="373">
          <cell r="C373" t="str">
            <v>% Private</v>
          </cell>
          <cell r="M373">
            <v>51.48930195722221</v>
          </cell>
          <cell r="N373">
            <v>65.761641486580558</v>
          </cell>
          <cell r="O373">
            <v>59.248066108879271</v>
          </cell>
          <cell r="P373">
            <v>60.136787100512443</v>
          </cell>
          <cell r="Q373">
            <v>61.038838907020136</v>
          </cell>
          <cell r="R373">
            <v>61.954421490625421</v>
          </cell>
          <cell r="S373">
            <v>62.883737812984805</v>
          </cell>
          <cell r="T373">
            <v>63.826993880179565</v>
          </cell>
          <cell r="U373">
            <v>64.784398788382262</v>
          </cell>
          <cell r="V373">
            <v>65.756164770207974</v>
          </cell>
          <cell r="W373">
            <v>66.742507241761103</v>
          </cell>
        </row>
        <row r="374">
          <cell r="M374">
            <v>0.116209422604033</v>
          </cell>
          <cell r="N374">
            <v>0.14196648426771555</v>
          </cell>
          <cell r="O374">
            <v>0.12805747285984098</v>
          </cell>
          <cell r="P374">
            <v>0.12805747285984098</v>
          </cell>
          <cell r="Q374">
            <v>0.12805747285984101</v>
          </cell>
          <cell r="R374">
            <v>0.12028388264752345</v>
          </cell>
          <cell r="S374">
            <v>0.11833759905664387</v>
          </cell>
          <cell r="T374">
            <v>0.11181398475948402</v>
          </cell>
          <cell r="U374">
            <v>0.11174416100961433</v>
          </cell>
          <cell r="V374">
            <v>0.10604315119264136</v>
          </cell>
          <cell r="W374">
            <v>0.10455249936365646</v>
          </cell>
        </row>
        <row r="376">
          <cell r="C376" t="str">
            <v>Annual Volume</v>
          </cell>
          <cell r="M376">
            <v>5316.8805905866666</v>
          </cell>
          <cell r="N376">
            <v>5558.6337994454661</v>
          </cell>
          <cell r="O376">
            <v>5552.0133064371494</v>
          </cell>
          <cell r="P376">
            <v>5635.293506033704</v>
          </cell>
          <cell r="Q376">
            <v>5719.82290862421</v>
          </cell>
          <cell r="R376">
            <v>6180.820252253573</v>
          </cell>
          <cell r="S376">
            <v>6376.7125560373752</v>
          </cell>
          <cell r="T376">
            <v>6849.983284377935</v>
          </cell>
          <cell r="U376">
            <v>6957.0774744436039</v>
          </cell>
          <cell r="V376">
            <v>7441.0649661762582</v>
          </cell>
          <cell r="W376">
            <v>7660.3628968772209</v>
          </cell>
        </row>
        <row r="377">
          <cell r="C377" t="str">
            <v>Total Gross Revenue</v>
          </cell>
          <cell r="M377">
            <v>254.6307286405013</v>
          </cell>
          <cell r="N377">
            <v>272.55910493526591</v>
          </cell>
          <cell r="O377">
            <v>298.81840606537952</v>
          </cell>
          <cell r="P377">
            <v>319.98384853415797</v>
          </cell>
          <cell r="Q377">
            <v>349.12556955287403</v>
          </cell>
          <cell r="R377">
            <v>406.60339923721989</v>
          </cell>
          <cell r="S377">
            <v>442.99586613798721</v>
          </cell>
          <cell r="T377">
            <v>527.9187678905854</v>
          </cell>
          <cell r="U377">
            <v>562.98569659242696</v>
          </cell>
          <cell r="V377">
            <v>632.32760782467267</v>
          </cell>
          <cell r="W377">
            <v>683.53403551717747</v>
          </cell>
        </row>
        <row r="378">
          <cell r="C378" t="str">
            <v>Average Ticket (R$/kTon)</v>
          </cell>
          <cell r="M378">
            <v>47.89100005204466</v>
          </cell>
          <cell r="N378">
            <v>49.033470231922209</v>
          </cell>
          <cell r="O378">
            <v>53.821630023638747</v>
          </cell>
          <cell r="P378">
            <v>56.782108720965738</v>
          </cell>
          <cell r="Q378">
            <v>61.037828466065093</v>
          </cell>
          <cell r="R378">
            <v>65.784698898009424</v>
          </cell>
          <cell r="S378">
            <v>69.470885232009621</v>
          </cell>
          <cell r="T378">
            <v>77.068621334384332</v>
          </cell>
          <cell r="U378">
            <v>80.9227292150361</v>
          </cell>
          <cell r="V378">
            <v>84.978106050538486</v>
          </cell>
          <cell r="W378">
            <v>89.229980970721769</v>
          </cell>
        </row>
        <row r="407">
          <cell r="C407" t="str">
            <v>Revenue - Waste Treatment</v>
          </cell>
          <cell r="M407">
            <v>279.7236358505013</v>
          </cell>
          <cell r="N407">
            <v>302.27613196892969</v>
          </cell>
          <cell r="O407">
            <v>329.83920612525679</v>
          </cell>
          <cell r="P407">
            <v>352.5644957840251</v>
          </cell>
          <cell r="Q407">
            <v>383.84839435941996</v>
          </cell>
          <cell r="R407">
            <v>443.60924977479624</v>
          </cell>
          <cell r="S407">
            <v>482.43485134840915</v>
          </cell>
          <cell r="T407">
            <v>569.95086637859254</v>
          </cell>
          <cell r="U407">
            <v>607.78140555602067</v>
          </cell>
          <cell r="V407">
            <v>680.06863465262268</v>
          </cell>
          <cell r="W407">
            <v>734.41403485906505</v>
          </cell>
        </row>
        <row r="408">
          <cell r="C408" t="str">
            <v>Check</v>
          </cell>
          <cell r="M408">
            <v>279.7236358505013</v>
          </cell>
          <cell r="N408">
            <v>302.27613196892969</v>
          </cell>
          <cell r="O408">
            <v>329.83920612525674</v>
          </cell>
          <cell r="P408">
            <v>352.5644957840251</v>
          </cell>
          <cell r="Q408">
            <v>383.84839435941996</v>
          </cell>
          <cell r="R408">
            <v>417.32881162926441</v>
          </cell>
          <cell r="S408">
            <v>446.12606081092383</v>
          </cell>
          <cell r="T408">
            <v>502.08996865749691</v>
          </cell>
          <cell r="U408">
            <v>535.10238409672741</v>
          </cell>
          <cell r="V408">
            <v>570.28536585108714</v>
          </cell>
          <cell r="W408">
            <v>607.78162865579588</v>
          </cell>
        </row>
        <row r="409">
          <cell r="M409" t="b">
            <v>1</v>
          </cell>
          <cell r="N409" t="b">
            <v>1</v>
          </cell>
          <cell r="O409" t="b">
            <v>1</v>
          </cell>
          <cell r="P409" t="b">
            <v>1</v>
          </cell>
          <cell r="Q409" t="b">
            <v>1</v>
          </cell>
          <cell r="R409" t="b">
            <v>0</v>
          </cell>
          <cell r="S409" t="b">
            <v>0</v>
          </cell>
          <cell r="T409" t="b">
            <v>0</v>
          </cell>
          <cell r="U409" t="b">
            <v>0</v>
          </cell>
          <cell r="V409" t="b">
            <v>0</v>
          </cell>
          <cell r="W409" t="b">
            <v>0</v>
          </cell>
        </row>
        <row r="410">
          <cell r="C410" t="str">
            <v>Nova Iguaçu Ecopark</v>
          </cell>
          <cell r="M410">
            <v>42.317352804000024</v>
          </cell>
          <cell r="N410">
            <v>52.821818982723457</v>
          </cell>
          <cell r="O410">
            <v>55.104619533699818</v>
          </cell>
          <cell r="P410">
            <v>57.715393750277208</v>
          </cell>
          <cell r="Q410">
            <v>61.510180889357912</v>
          </cell>
          <cell r="R410">
            <v>65.554475282833181</v>
          </cell>
          <cell r="S410">
            <v>69.864682032679482</v>
          </cell>
          <cell r="T410">
            <v>74.45828487632815</v>
          </cell>
          <cell r="U410">
            <v>79.353917106946739</v>
          </cell>
          <cell r="V410">
            <v>84.571437156728436</v>
          </cell>
          <cell r="W410">
            <v>90.132009149783343</v>
          </cell>
        </row>
        <row r="411">
          <cell r="C411" t="str">
            <v>São Gonçalo Ecopark</v>
          </cell>
          <cell r="M411">
            <v>46.166938813449988</v>
          </cell>
          <cell r="N411">
            <v>48.136989003602039</v>
          </cell>
          <cell r="O411">
            <v>50.217325257370703</v>
          </cell>
          <cell r="P411">
            <v>52.59654680207705</v>
          </cell>
          <cell r="Q411">
            <v>56.054769754313625</v>
          </cell>
          <cell r="R411">
            <v>59.740370865659735</v>
          </cell>
          <cell r="S411">
            <v>63.668300250076861</v>
          </cell>
          <cell r="T411">
            <v>67.854490991519427</v>
          </cell>
          <cell r="U411">
            <v>72.315923774211825</v>
          </cell>
          <cell r="V411">
            <v>77.070695762366228</v>
          </cell>
          <cell r="W411">
            <v>82.138094008741831</v>
          </cell>
        </row>
        <row r="412">
          <cell r="C412" t="str">
            <v>Barra Mansa Ecopark</v>
          </cell>
          <cell r="M412">
            <v>23.866621608400003</v>
          </cell>
          <cell r="N412">
            <v>24.598727131253746</v>
          </cell>
          <cell r="O412">
            <v>20.573954607017747</v>
          </cell>
          <cell r="P412">
            <v>21.578470968187069</v>
          </cell>
          <cell r="Q412">
            <v>23.877303037621154</v>
          </cell>
          <cell r="R412">
            <v>26.744407828947537</v>
          </cell>
          <cell r="S412">
            <v>29.860732460736209</v>
          </cell>
          <cell r="T412">
            <v>32.19086658836234</v>
          </cell>
          <cell r="U412">
            <v>34.307416066547155</v>
          </cell>
          <cell r="V412">
            <v>36.563128672922623</v>
          </cell>
          <cell r="W412">
            <v>38.967154383167291</v>
          </cell>
        </row>
        <row r="413">
          <cell r="C413" t="str">
            <v>Ecopesa Ecopark</v>
          </cell>
          <cell r="M413">
            <v>75.348435151519666</v>
          </cell>
          <cell r="N413">
            <v>77.786943132313752</v>
          </cell>
          <cell r="O413">
            <v>100.71663146045658</v>
          </cell>
          <cell r="P413">
            <v>105.62605798728464</v>
          </cell>
          <cell r="Q413">
            <v>115.42083852762927</v>
          </cell>
          <cell r="R413">
            <v>129.95497188493064</v>
          </cell>
          <cell r="S413">
            <v>138.49951128636482</v>
          </cell>
          <cell r="T413">
            <v>173.87018253336544</v>
          </cell>
          <cell r="U413">
            <v>185.30214703493417</v>
          </cell>
          <cell r="V413">
            <v>197.48576320248111</v>
          </cell>
          <cell r="W413">
            <v>210.4704521330442</v>
          </cell>
        </row>
        <row r="414">
          <cell r="C414" t="str">
            <v>João Pessoa</v>
          </cell>
          <cell r="M414">
            <v>16.818862701731646</v>
          </cell>
          <cell r="N414">
            <v>17.56202617801716</v>
          </cell>
          <cell r="O414">
            <v>18.321004263352528</v>
          </cell>
          <cell r="P414">
            <v>19.189025963843775</v>
          </cell>
          <cell r="Q414">
            <v>20.450704420966506</v>
          </cell>
          <cell r="R414">
            <v>21.795338236645055</v>
          </cell>
          <cell r="S414">
            <v>23.228381725704466</v>
          </cell>
          <cell r="T414">
            <v>24.755647824169529</v>
          </cell>
          <cell r="U414">
            <v>26.383331668608676</v>
          </cell>
          <cell r="V414">
            <v>28.118035725819695</v>
          </cell>
          <cell r="W414">
            <v>29.966796574792333</v>
          </cell>
        </row>
        <row r="415">
          <cell r="C415" t="str">
            <v>Jardim Gramacho Waste Treatment Station</v>
          </cell>
          <cell r="M415">
            <v>50.11251756139999</v>
          </cell>
          <cell r="N415">
            <v>51.652600507355736</v>
          </cell>
          <cell r="O415">
            <v>53.88487094348212</v>
          </cell>
          <cell r="P415">
            <v>63.278353062488215</v>
          </cell>
          <cell r="Q415">
            <v>71.811772922985568</v>
          </cell>
          <cell r="R415">
            <v>76.533396992671868</v>
          </cell>
          <cell r="S415">
            <v>81.565467844940045</v>
          </cell>
          <cell r="T415">
            <v>86.928397355744835</v>
          </cell>
          <cell r="U415">
            <v>92.64393948188507</v>
          </cell>
          <cell r="V415">
            <v>98.735278502819014</v>
          </cell>
          <cell r="W415">
            <v>105.22712306437936</v>
          </cell>
        </row>
        <row r="416">
          <cell r="C416" t="str">
            <v>Incineration</v>
          </cell>
          <cell r="M416">
            <v>20.488708399999997</v>
          </cell>
          <cell r="N416">
            <v>25.033074396474557</v>
          </cell>
          <cell r="O416">
            <v>26.114928772667</v>
          </cell>
          <cell r="P416">
            <v>27.352214925522802</v>
          </cell>
          <cell r="Q416">
            <v>29.150623056875919</v>
          </cell>
          <cell r="R416">
            <v>31.067276522865516</v>
          </cell>
          <cell r="S416">
            <v>33.109949954243923</v>
          </cell>
          <cell r="T416">
            <v>35.286929163735458</v>
          </cell>
          <cell r="U416">
            <v>37.607044756251064</v>
          </cell>
          <cell r="V416">
            <v>40.079707948974573</v>
          </cell>
          <cell r="W416">
            <v>42.714948746619648</v>
          </cell>
        </row>
        <row r="417">
          <cell r="C417" t="str">
            <v>Others</v>
          </cell>
          <cell r="M417">
            <v>4.6041988099999989</v>
          </cell>
          <cell r="N417">
            <v>4.6839526371892211</v>
          </cell>
          <cell r="O417">
            <v>4.9058712872102905</v>
          </cell>
          <cell r="P417">
            <v>5.2284323243443671</v>
          </cell>
          <cell r="Q417">
            <v>5.5722017496700094</v>
          </cell>
          <cell r="R417">
            <v>5.9385740147108121</v>
          </cell>
          <cell r="S417">
            <v>6.3290352561780479</v>
          </cell>
          <cell r="T417">
            <v>6.745169324271755</v>
          </cell>
          <cell r="U417">
            <v>7.1886642073426223</v>
          </cell>
          <cell r="V417">
            <v>7.6613188789753996</v>
          </cell>
          <cell r="W417">
            <v>8.1650505952680312</v>
          </cell>
        </row>
        <row r="418">
          <cell r="C418" t="str">
            <v>New Projects - Ecoparks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26.280438145531814</v>
          </cell>
          <cell r="S418">
            <v>36.308790537485301</v>
          </cell>
          <cell r="T418">
            <v>67.860897721095583</v>
          </cell>
          <cell r="U418">
            <v>72.679021459293381</v>
          </cell>
          <cell r="V418">
            <v>109.78326880153554</v>
          </cell>
          <cell r="W418">
            <v>126.6324062032692</v>
          </cell>
        </row>
        <row r="419">
          <cell r="C419" t="str">
            <v>% Total Revenues</v>
          </cell>
          <cell r="M419">
            <v>0.63440534116326497</v>
          </cell>
          <cell r="N419">
            <v>0.62353405163270481</v>
          </cell>
          <cell r="O419">
            <v>0.58056062423698684</v>
          </cell>
          <cell r="P419">
            <v>0.51505611535745555</v>
          </cell>
          <cell r="Q419">
            <v>0.43320187113690717</v>
          </cell>
          <cell r="R419">
            <v>0.42042949244764344</v>
          </cell>
          <cell r="S419">
            <v>0.41187353095789836</v>
          </cell>
          <cell r="T419">
            <v>0.42885064922913496</v>
          </cell>
          <cell r="U419">
            <v>0.4252735235432708</v>
          </cell>
          <cell r="V419">
            <v>0.43466639271045404</v>
          </cell>
          <cell r="W419">
            <v>0.4341089293045306</v>
          </cell>
        </row>
        <row r="450">
          <cell r="C450" t="str">
            <v>Gross Income - Waste Treatment</v>
          </cell>
          <cell r="M450">
            <v>115.50523396956186</v>
          </cell>
          <cell r="N450">
            <v>132.59887666713368</v>
          </cell>
          <cell r="O450">
            <v>152.5110689004006</v>
          </cell>
          <cell r="P450">
            <v>166.04494695117972</v>
          </cell>
          <cell r="Q450">
            <v>185.54461292737361</v>
          </cell>
          <cell r="R450">
            <v>216.74767718104869</v>
          </cell>
          <cell r="S450">
            <v>240.55249902112354</v>
          </cell>
          <cell r="T450">
            <v>295.26533526894457</v>
          </cell>
          <cell r="U450">
            <v>316.71759054300827</v>
          </cell>
          <cell r="V450">
            <v>355.57512868914756</v>
          </cell>
          <cell r="W450">
            <v>389.75269009859568</v>
          </cell>
        </row>
        <row r="451">
          <cell r="C451" t="str">
            <v>Check</v>
          </cell>
          <cell r="M451">
            <v>115.50523396956186</v>
          </cell>
          <cell r="N451">
            <v>132.59887666713371</v>
          </cell>
          <cell r="O451">
            <v>152.51106890040057</v>
          </cell>
          <cell r="P451">
            <v>166.04494695117967</v>
          </cell>
          <cell r="Q451">
            <v>185.54461292737358</v>
          </cell>
          <cell r="R451">
            <v>203.67813563784466</v>
          </cell>
          <cell r="S451">
            <v>219.52270969280187</v>
          </cell>
          <cell r="T451">
            <v>258.08598208556134</v>
          </cell>
          <cell r="U451">
            <v>276.39171095754483</v>
          </cell>
          <cell r="V451">
            <v>295.96787028035391</v>
          </cell>
          <cell r="W451">
            <v>316.90133229500498</v>
          </cell>
        </row>
        <row r="452">
          <cell r="M452" t="b">
            <v>1</v>
          </cell>
          <cell r="N452" t="b">
            <v>1</v>
          </cell>
          <cell r="O452" t="b">
            <v>1</v>
          </cell>
          <cell r="P452" t="b">
            <v>1</v>
          </cell>
          <cell r="Q452" t="b">
            <v>1</v>
          </cell>
          <cell r="R452" t="b">
            <v>0</v>
          </cell>
          <cell r="S452" t="b">
            <v>0</v>
          </cell>
          <cell r="T452" t="b">
            <v>0</v>
          </cell>
          <cell r="U452" t="b">
            <v>0</v>
          </cell>
          <cell r="V452" t="b">
            <v>0</v>
          </cell>
          <cell r="W452" t="b">
            <v>0</v>
          </cell>
        </row>
        <row r="453">
          <cell r="C453" t="str">
            <v>Nova Iguaçu Ecopark</v>
          </cell>
          <cell r="M453">
            <v>4.4676260782980108</v>
          </cell>
          <cell r="N453">
            <v>10.851483574028684</v>
          </cell>
          <cell r="O453">
            <v>11.928326124719881</v>
          </cell>
          <cell r="P453">
            <v>12.833673863304746</v>
          </cell>
          <cell r="Q453">
            <v>14.421985121733087</v>
          </cell>
          <cell r="R453">
            <v>16.147499333226293</v>
          </cell>
          <cell r="S453">
            <v>17.579302843472831</v>
          </cell>
          <cell r="T453">
            <v>19.1237527059724</v>
          </cell>
          <cell r="U453">
            <v>20.789180681958399</v>
          </cell>
          <cell r="V453">
            <v>22.584512609143829</v>
          </cell>
          <cell r="W453">
            <v>24.519309775409113</v>
          </cell>
        </row>
        <row r="454">
          <cell r="C454" t="str">
            <v>São Gonçalo Ecopark</v>
          </cell>
          <cell r="M454">
            <v>24.856748641732047</v>
          </cell>
          <cell r="N454">
            <v>26.478545496673458</v>
          </cell>
          <cell r="O454">
            <v>27.777612458033509</v>
          </cell>
          <cell r="P454">
            <v>29.104051741361257</v>
          </cell>
          <cell r="Q454">
            <v>31.236090974106702</v>
          </cell>
          <cell r="R454">
            <v>30.652709961906432</v>
          </cell>
          <cell r="S454">
            <v>32.863919453826846</v>
          </cell>
          <cell r="T454">
            <v>35.230305660437296</v>
          </cell>
          <cell r="U454">
            <v>37.762560935258435</v>
          </cell>
          <cell r="V454">
            <v>40.472105128281413</v>
          </cell>
          <cell r="W454">
            <v>43.371134642572187</v>
          </cell>
        </row>
        <row r="455">
          <cell r="C455" t="str">
            <v>Barra Mansa Ecopark</v>
          </cell>
          <cell r="M455">
            <v>13.6544496555934</v>
          </cell>
          <cell r="N455">
            <v>13.995874841421983</v>
          </cell>
          <cell r="O455">
            <v>10.88375658291954</v>
          </cell>
          <cell r="P455">
            <v>11.432481410528087</v>
          </cell>
          <cell r="Q455">
            <v>13.081693438449349</v>
          </cell>
          <cell r="R455">
            <v>15.225260634491963</v>
          </cell>
          <cell r="S455">
            <v>17.549196894543684</v>
          </cell>
          <cell r="T455">
            <v>19.124694908427543</v>
          </cell>
          <cell r="U455">
            <v>20.473047105577095</v>
          </cell>
          <cell r="V455">
            <v>21.914598635035262</v>
          </cell>
          <cell r="W455">
            <v>23.455704611668629</v>
          </cell>
        </row>
        <row r="456">
          <cell r="C456" t="str">
            <v>Ecopesa Ecopark</v>
          </cell>
          <cell r="M456">
            <v>38.838587614006123</v>
          </cell>
          <cell r="N456">
            <v>40.366917768494602</v>
          </cell>
          <cell r="O456">
            <v>59.122518964478061</v>
          </cell>
          <cell r="P456">
            <v>62.005631660484077</v>
          </cell>
          <cell r="Q456">
            <v>68.869434772584839</v>
          </cell>
          <cell r="R456">
            <v>79.713678328774279</v>
          </cell>
          <cell r="S456">
            <v>85.314772777058778</v>
          </cell>
          <cell r="T456">
            <v>113.82379677600964</v>
          </cell>
          <cell r="U456">
            <v>121.70452332226202</v>
          </cell>
          <cell r="V456">
            <v>130.1232482343421</v>
          </cell>
          <cell r="W456">
            <v>139.11633693457338</v>
          </cell>
        </row>
        <row r="457">
          <cell r="C457" t="str">
            <v>João Pessoa</v>
          </cell>
          <cell r="M457">
            <v>5.0583065151142552</v>
          </cell>
          <cell r="N457">
            <v>6.7453412123571219</v>
          </cell>
          <cell r="O457">
            <v>7.0972035367266209</v>
          </cell>
          <cell r="P457">
            <v>7.3810484123160371</v>
          </cell>
          <cell r="Q457">
            <v>7.9376187410574843</v>
          </cell>
          <cell r="R457">
            <v>8.5343468886952607</v>
          </cell>
          <cell r="S457">
            <v>9.1740513978108833</v>
          </cell>
          <cell r="T457">
            <v>9.8597450384600496</v>
          </cell>
          <cell r="U457">
            <v>10.594648024044055</v>
          </cell>
          <cell r="V457">
            <v>11.382202118395472</v>
          </cell>
          <cell r="W457">
            <v>12.226085693789022</v>
          </cell>
        </row>
        <row r="458">
          <cell r="C458" t="str">
            <v>Jardim Gramacho Waste Treatment Station</v>
          </cell>
          <cell r="M458">
            <v>22.771066515980472</v>
          </cell>
          <cell r="N458">
            <v>24.236648796495157</v>
          </cell>
          <cell r="O458">
            <v>25.284084047533284</v>
          </cell>
          <cell r="P458">
            <v>32.347732853645688</v>
          </cell>
          <cell r="Q458">
            <v>38.224330724515632</v>
          </cell>
          <cell r="R458">
            <v>40.737580469652521</v>
          </cell>
          <cell r="S458">
            <v>43.416076385532186</v>
          </cell>
          <cell r="T458">
            <v>46.270683407880909</v>
          </cell>
          <cell r="U458">
            <v>49.312980841949091</v>
          </cell>
          <cell r="V458">
            <v>52.555309332307246</v>
          </cell>
          <cell r="W458">
            <v>56.010820920906454</v>
          </cell>
        </row>
        <row r="459">
          <cell r="C459" t="str">
            <v>Incineration</v>
          </cell>
          <cell r="M459">
            <v>4.0422489792625509</v>
          </cell>
          <cell r="N459">
            <v>7.449253442895035</v>
          </cell>
          <cell r="O459">
            <v>7.846660140001319</v>
          </cell>
          <cell r="P459">
            <v>8.2003828252776891</v>
          </cell>
          <cell r="Q459">
            <v>8.8533636405491301</v>
          </cell>
          <cell r="R459">
            <v>9.5549682266501534</v>
          </cell>
          <cell r="S459">
            <v>10.308678110624058</v>
          </cell>
          <cell r="T459">
            <v>11.118217955622828</v>
          </cell>
          <cell r="U459">
            <v>11.987572258391523</v>
          </cell>
          <cell r="V459">
            <v>12.921003180176601</v>
          </cell>
          <cell r="W459">
            <v>13.923069587358825</v>
          </cell>
        </row>
        <row r="460">
          <cell r="C460" t="str">
            <v>Others</v>
          </cell>
          <cell r="M460">
            <v>1.8161999695749991</v>
          </cell>
          <cell r="N460">
            <v>2.4748115347676292</v>
          </cell>
          <cell r="O460">
            <v>2.5709070459884096</v>
          </cell>
          <cell r="P460">
            <v>2.7399441842621477</v>
          </cell>
          <cell r="Q460">
            <v>2.9200955143773841</v>
          </cell>
          <cell r="R460">
            <v>3.1120917944476965</v>
          </cell>
          <cell r="S460">
            <v>3.3167118299326326</v>
          </cell>
          <cell r="T460">
            <v>3.5347856327507032</v>
          </cell>
          <cell r="U460">
            <v>3.7671977881040619</v>
          </cell>
          <cell r="V460">
            <v>4.0148910426719038</v>
          </cell>
          <cell r="W460">
            <v>4.278870128727581</v>
          </cell>
        </row>
        <row r="461">
          <cell r="C461" t="str">
            <v>New Projects - Ecoparks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13.069541543204046</v>
          </cell>
          <cell r="S461">
            <v>21.029789328321655</v>
          </cell>
          <cell r="T461">
            <v>37.179353183383171</v>
          </cell>
          <cell r="U461">
            <v>40.325879585463547</v>
          </cell>
          <cell r="V461">
            <v>59.60725840879379</v>
          </cell>
          <cell r="W461">
            <v>72.85135780359046</v>
          </cell>
        </row>
        <row r="464">
          <cell r="C464" t="str">
            <v>Gross Margin</v>
          </cell>
          <cell r="M464">
            <v>0.41292625708359448</v>
          </cell>
          <cell r="N464">
            <v>0.43866803443403607</v>
          </cell>
          <cell r="O464">
            <v>0.4623800508496384</v>
          </cell>
          <cell r="P464">
            <v>0.47096332426194154</v>
          </cell>
          <cell r="Q464">
            <v>0.48337993763662124</v>
          </cell>
          <cell r="R464">
            <v>0.48860044575509493</v>
          </cell>
          <cell r="S464">
            <v>0.49862172757373857</v>
          </cell>
          <cell r="T464">
            <v>0.51805401603304724</v>
          </cell>
          <cell r="U464">
            <v>0.52110444256395672</v>
          </cell>
          <cell r="V464">
            <v>0.5228518278464267</v>
          </cell>
          <cell r="W464">
            <v>0.53069885868043043</v>
          </cell>
        </row>
        <row r="498">
          <cell r="A498">
            <v>2</v>
          </cell>
          <cell r="C498" t="str">
            <v>Energy, Carbon Credits &amp; Biogas</v>
          </cell>
        </row>
        <row r="499">
          <cell r="C499" t="str">
            <v>Biogas:</v>
          </cell>
          <cell r="L499" t="str">
            <v xml:space="preserve"> </v>
          </cell>
          <cell r="M499">
            <v>21001.029166666667</v>
          </cell>
          <cell r="N499">
            <v>38390.15</v>
          </cell>
          <cell r="O499">
            <v>41740.178906067915</v>
          </cell>
          <cell r="P499">
            <v>45941.509455749954</v>
          </cell>
          <cell r="Q499">
            <v>47211.082185489606</v>
          </cell>
          <cell r="R499">
            <v>48672.357381605128</v>
          </cell>
          <cell r="S499">
            <v>51038.31411128374</v>
          </cell>
          <cell r="T499">
            <v>53719.959762331448</v>
          </cell>
          <cell r="U499">
            <v>57322.228947243755</v>
          </cell>
          <cell r="V499">
            <v>61439.918045053593</v>
          </cell>
          <cell r="W499">
            <v>66503.447205060889</v>
          </cell>
        </row>
        <row r="500">
          <cell r="C500" t="str">
            <v>Nova Iguaçu Plant</v>
          </cell>
          <cell r="M500">
            <v>13000</v>
          </cell>
          <cell r="N500">
            <v>14250</v>
          </cell>
          <cell r="O500">
            <v>15041.655993640754</v>
          </cell>
          <cell r="P500">
            <v>15492.905673449979</v>
          </cell>
          <cell r="Q500">
            <v>15914.092589982294</v>
          </cell>
          <cell r="R500">
            <v>16436.423628963083</v>
          </cell>
          <cell r="S500">
            <v>16929.516337831978</v>
          </cell>
          <cell r="T500">
            <v>17437.401827966936</v>
          </cell>
          <cell r="U500">
            <v>17911.451413180792</v>
          </cell>
          <cell r="V500">
            <v>18499.339599290124</v>
          </cell>
          <cell r="W500">
            <v>19054.319787268829</v>
          </cell>
        </row>
        <row r="501">
          <cell r="C501" t="str">
            <v>São Gonçalo Plant</v>
          </cell>
          <cell r="M501">
            <v>6901.0291666666662</v>
          </cell>
          <cell r="N501">
            <v>9000</v>
          </cell>
          <cell r="O501">
            <v>10027.770662427161</v>
          </cell>
          <cell r="P501">
            <v>10328.603782299977</v>
          </cell>
          <cell r="Q501">
            <v>10609.395059988186</v>
          </cell>
          <cell r="R501">
            <v>10957.615752642047</v>
          </cell>
          <cell r="S501">
            <v>11286.344225221306</v>
          </cell>
          <cell r="T501">
            <v>11624.934551977945</v>
          </cell>
          <cell r="U501">
            <v>11940.967608787183</v>
          </cell>
          <cell r="V501">
            <v>12332.893066193403</v>
          </cell>
          <cell r="W501">
            <v>12702.879858179203</v>
          </cell>
        </row>
        <row r="502">
          <cell r="C502" t="str">
            <v>Barra Mansa Plant</v>
          </cell>
          <cell r="M502">
            <v>1100</v>
          </cell>
          <cell r="N502">
            <v>1100</v>
          </cell>
          <cell r="O502">
            <v>1099.9999999999998</v>
          </cell>
          <cell r="P502">
            <v>1099.9999999999998</v>
          </cell>
          <cell r="Q502">
            <v>1096.9945355191255</v>
          </cell>
          <cell r="R502">
            <v>1099.9999999999998</v>
          </cell>
          <cell r="S502">
            <v>1099.9999999999998</v>
          </cell>
          <cell r="T502">
            <v>1099.9999999999998</v>
          </cell>
          <cell r="U502">
            <v>1096.9945355191255</v>
          </cell>
          <cell r="V502">
            <v>1099.9999999999998</v>
          </cell>
          <cell r="W502">
            <v>1099.9999999999998</v>
          </cell>
        </row>
        <row r="503">
          <cell r="C503" t="str">
            <v>Ecopesa Plant</v>
          </cell>
          <cell r="M503">
            <v>0</v>
          </cell>
          <cell r="N503">
            <v>12000</v>
          </cell>
          <cell r="O503">
            <v>13499.999999999998</v>
          </cell>
          <cell r="P503">
            <v>15000.000000000002</v>
          </cell>
          <cell r="Q503">
            <v>15450.000000000002</v>
          </cell>
          <cell r="R503">
            <v>15913.500000000002</v>
          </cell>
          <cell r="S503">
            <v>16390.905000000002</v>
          </cell>
          <cell r="T503">
            <v>16882.632150000001</v>
          </cell>
          <cell r="U503">
            <v>17389.111114500003</v>
          </cell>
          <cell r="V503">
            <v>17910.784447935002</v>
          </cell>
          <cell r="W503">
            <v>18448.107981373054</v>
          </cell>
        </row>
        <row r="504">
          <cell r="C504" t="str">
            <v>João Pessoa Plant</v>
          </cell>
          <cell r="M504">
            <v>0</v>
          </cell>
          <cell r="N504">
            <v>2040.1499999999999</v>
          </cell>
          <cell r="O504">
            <v>2070.7522499999995</v>
          </cell>
          <cell r="P504">
            <v>4020.0000000000005</v>
          </cell>
          <cell r="Q504">
            <v>4140.6000000000004</v>
          </cell>
          <cell r="R504">
            <v>4264.8180000000002</v>
          </cell>
          <cell r="S504">
            <v>4392.7625400000006</v>
          </cell>
          <cell r="T504">
            <v>4524.5454162000015</v>
          </cell>
          <cell r="U504">
            <v>4660.2817786860014</v>
          </cell>
          <cell r="V504">
            <v>4800.0902320465811</v>
          </cell>
          <cell r="W504">
            <v>4944.0929390079791</v>
          </cell>
        </row>
        <row r="505">
          <cell r="C505" t="str">
            <v>New Projects - Ecoparks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938.78600823045304</v>
          </cell>
          <cell r="T505">
            <v>2150.44581618656</v>
          </cell>
          <cell r="U505">
            <v>4323.4224965706435</v>
          </cell>
          <cell r="V505">
            <v>6796.8106995884809</v>
          </cell>
          <cell r="W505">
            <v>10254.046639231823</v>
          </cell>
        </row>
        <row r="506">
          <cell r="C506" t="str">
            <v>Total Volume (kNm3)</v>
          </cell>
          <cell r="M506">
            <v>183969.01550000001</v>
          </cell>
          <cell r="N506">
            <v>336297.71400000004</v>
          </cell>
          <cell r="O506">
            <v>365643.96721715492</v>
          </cell>
          <cell r="P506">
            <v>402447.62283236964</v>
          </cell>
          <cell r="Q506">
            <v>413569.079944889</v>
          </cell>
          <cell r="R506">
            <v>426369.8506628609</v>
          </cell>
          <cell r="S506">
            <v>447095.63161484554</v>
          </cell>
          <cell r="T506">
            <v>470586.84751802351</v>
          </cell>
          <cell r="U506">
            <v>502142.72557785525</v>
          </cell>
          <cell r="V506">
            <v>538213.68207466952</v>
          </cell>
          <cell r="W506">
            <v>582570.19751633331</v>
          </cell>
        </row>
        <row r="507">
          <cell r="C507" t="str">
            <v>Gross Revenue:</v>
          </cell>
          <cell r="M507">
            <v>50.167198843226608</v>
          </cell>
          <cell r="N507">
            <v>62.661307617606255</v>
          </cell>
          <cell r="O507">
            <v>73.656911385765923</v>
          </cell>
          <cell r="P507">
            <v>84.285080643565564</v>
          </cell>
          <cell r="Q507">
            <v>91.027015099625842</v>
          </cell>
          <cell r="R507">
            <v>101.78598972961846</v>
          </cell>
          <cell r="S507">
            <v>113.08313908759391</v>
          </cell>
          <cell r="T507">
            <v>127.77729237466269</v>
          </cell>
          <cell r="U507">
            <v>146.40762154816625</v>
          </cell>
          <cell r="V507">
            <v>165.5131048747462</v>
          </cell>
          <cell r="W507">
            <v>190.45693042083485</v>
          </cell>
        </row>
        <row r="509">
          <cell r="C509" t="str">
            <v>Average Price (R$/kNm3)</v>
          </cell>
          <cell r="M509">
            <v>0.27269373979569189</v>
          </cell>
          <cell r="N509">
            <v>0.18632689134962793</v>
          </cell>
          <cell r="O509">
            <v>0.20144435021410129</v>
          </cell>
          <cell r="P509">
            <v>0.20943118026236321</v>
          </cell>
          <cell r="Q509">
            <v>0.22010111372870486</v>
          </cell>
          <cell r="R509">
            <v>0.23872698684340762</v>
          </cell>
          <cell r="S509">
            <v>0.25292830233915231</v>
          </cell>
          <cell r="T509">
            <v>0.2715275470374654</v>
          </cell>
          <cell r="U509">
            <v>0.29156575230614651</v>
          </cell>
          <cell r="V509">
            <v>0.30752303478562182</v>
          </cell>
          <cell r="W509">
            <v>0.32692528940342008</v>
          </cell>
        </row>
        <row r="512">
          <cell r="C512" t="str">
            <v>Carbon Credit:</v>
          </cell>
          <cell r="M512">
            <v>318.82914379912609</v>
          </cell>
          <cell r="N512">
            <v>200.60526944437396</v>
          </cell>
          <cell r="O512">
            <v>218.1274530234007</v>
          </cell>
          <cell r="P512">
            <v>230.57971411410276</v>
          </cell>
          <cell r="Q512">
            <v>237.49710553752587</v>
          </cell>
          <cell r="R512">
            <v>244.62201870365163</v>
          </cell>
          <cell r="S512">
            <v>256.65460930591343</v>
          </cell>
          <cell r="T512">
            <v>270.27172872363684</v>
          </cell>
          <cell r="U512">
            <v>288.92219711483835</v>
          </cell>
          <cell r="V512">
            <v>309.30829066888714</v>
          </cell>
          <cell r="W512">
            <v>334.85419748223217</v>
          </cell>
        </row>
        <row r="513">
          <cell r="C513" t="str">
            <v>Nova Iguaçu Plant</v>
          </cell>
          <cell r="M513">
            <v>106.82626995996134</v>
          </cell>
          <cell r="N513">
            <v>69.600000000000009</v>
          </cell>
          <cell r="O513">
            <v>73.466614537361167</v>
          </cell>
          <cell r="P513">
            <v>75.670612973482008</v>
          </cell>
          <cell r="Q513">
            <v>77.940731362686464</v>
          </cell>
          <cell r="R513">
            <v>80.278953303567064</v>
          </cell>
          <cell r="S513">
            <v>82.687321902674086</v>
          </cell>
          <cell r="T513">
            <v>85.167941559754311</v>
          </cell>
          <cell r="U513">
            <v>87.722979806546945</v>
          </cell>
          <cell r="V513">
            <v>90.354669200743359</v>
          </cell>
          <cell r="W513">
            <v>93.06530927676566</v>
          </cell>
        </row>
        <row r="514">
          <cell r="C514" t="str">
            <v>São Gonçalo Plant</v>
          </cell>
          <cell r="M514">
            <v>89.311219676607877</v>
          </cell>
          <cell r="N514">
            <v>46.899999999999984</v>
          </cell>
          <cell r="O514">
            <v>52.1</v>
          </cell>
          <cell r="P514">
            <v>53.663000000000004</v>
          </cell>
          <cell r="Q514">
            <v>55.272890000000004</v>
          </cell>
          <cell r="R514">
            <v>56.931076700000006</v>
          </cell>
          <cell r="S514">
            <v>58.639009001000005</v>
          </cell>
          <cell r="T514">
            <v>60.39817927103001</v>
          </cell>
          <cell r="U514">
            <v>62.21012464916091</v>
          </cell>
          <cell r="V514">
            <v>64.076428388635733</v>
          </cell>
          <cell r="W514">
            <v>65.998721240294813</v>
          </cell>
        </row>
        <row r="515">
          <cell r="C515" t="str">
            <v>Barra Mansa Plant</v>
          </cell>
          <cell r="M515">
            <v>0</v>
          </cell>
          <cell r="N515">
            <v>4.7659999999999991</v>
          </cell>
          <cell r="O515">
            <v>4.9089799999999988</v>
          </cell>
          <cell r="P515">
            <v>5.0562493999999987</v>
          </cell>
          <cell r="Q515">
            <v>5.2079368819999985</v>
          </cell>
          <cell r="R515">
            <v>5.3641749884599985</v>
          </cell>
          <cell r="S515">
            <v>5.525100238113799</v>
          </cell>
          <cell r="T515">
            <v>5.6908532452572134</v>
          </cell>
          <cell r="U515">
            <v>5.8615788426149296</v>
          </cell>
          <cell r="V515">
            <v>6.037426207893378</v>
          </cell>
          <cell r="W515">
            <v>6.2185489941301793</v>
          </cell>
        </row>
        <row r="516">
          <cell r="C516" t="str">
            <v>Ecopesa Plant</v>
          </cell>
          <cell r="M516">
            <v>112.37230747002944</v>
          </cell>
          <cell r="N516">
            <v>64.75</v>
          </cell>
          <cell r="O516">
            <v>72.843749999999986</v>
          </cell>
          <cell r="P516">
            <v>80.9375</v>
          </cell>
          <cell r="Q516">
            <v>83.365625000000009</v>
          </cell>
          <cell r="R516">
            <v>85.866593750000007</v>
          </cell>
          <cell r="S516">
            <v>88.442591562500013</v>
          </cell>
          <cell r="T516">
            <v>91.095869309375018</v>
          </cell>
          <cell r="U516">
            <v>93.828745388656273</v>
          </cell>
          <cell r="V516">
            <v>96.643607750315965</v>
          </cell>
          <cell r="W516">
            <v>99.542915982825448</v>
          </cell>
        </row>
        <row r="517">
          <cell r="C517" t="str">
            <v>João Pessoa</v>
          </cell>
          <cell r="M517">
            <v>10.319346692527398</v>
          </cell>
          <cell r="N517">
            <v>14.589269444373953</v>
          </cell>
          <cell r="O517">
            <v>14.80810848603956</v>
          </cell>
          <cell r="P517">
            <v>15.252351740620746</v>
          </cell>
          <cell r="Q517">
            <v>15.709922292839368</v>
          </cell>
          <cell r="R517">
            <v>16.181219961624549</v>
          </cell>
          <cell r="S517">
            <v>16.666656560473289</v>
          </cell>
          <cell r="T517">
            <v>17.166656257287489</v>
          </cell>
          <cell r="U517">
            <v>17.681655945006113</v>
          </cell>
          <cell r="V517">
            <v>18.212105623356297</v>
          </cell>
          <cell r="W517">
            <v>18.758468792056984</v>
          </cell>
        </row>
        <row r="518">
          <cell r="C518" t="str">
            <v>New Projects - Ecoparks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4.6939300411522646</v>
          </cell>
          <cell r="T518">
            <v>10.752229080932802</v>
          </cell>
          <cell r="U518">
            <v>21.617112482853219</v>
          </cell>
          <cell r="V518">
            <v>33.984053497942398</v>
          </cell>
          <cell r="W518">
            <v>51.270233196159118</v>
          </cell>
        </row>
        <row r="520">
          <cell r="C520" t="str">
            <v>Gross Revenue:</v>
          </cell>
          <cell r="M520">
            <v>26.963925213073175</v>
          </cell>
          <cell r="N520">
            <v>30.510744245059811</v>
          </cell>
          <cell r="O520">
            <v>30.578719187153023</v>
          </cell>
          <cell r="P520">
            <v>32.721735724244198</v>
          </cell>
          <cell r="Q520">
            <v>35.299917275866697</v>
          </cell>
          <cell r="R520">
            <v>38.558629139188326</v>
          </cell>
          <cell r="S520">
            <v>42.780300743164418</v>
          </cell>
          <cell r="T520">
            <v>47.561541446896257</v>
          </cell>
          <cell r="U520">
            <v>53.459532526905598</v>
          </cell>
          <cell r="V520">
            <v>60.060860054017091</v>
          </cell>
          <cell r="W520">
            <v>67.955144785282755</v>
          </cell>
        </row>
        <row r="522">
          <cell r="C522" t="str">
            <v>Average Price (R$/kCO2)</v>
          </cell>
          <cell r="M522">
            <v>7.047642323349792</v>
          </cell>
          <cell r="N522">
            <v>12.674452807066869</v>
          </cell>
          <cell r="O522">
            <v>11.682282828727866</v>
          </cell>
          <cell r="P522">
            <v>11.825894228510997</v>
          </cell>
          <cell r="Q522">
            <v>12.38608683811556</v>
          </cell>
          <cell r="R522">
            <v>13.135445091821552</v>
          </cell>
          <cell r="S522">
            <v>13.890360557215322</v>
          </cell>
          <cell r="T522">
            <v>14.664729477843929</v>
          </cell>
          <cell r="U522">
            <v>15.419241195019985</v>
          </cell>
          <cell r="V522">
            <v>16.181498595929952</v>
          </cell>
          <cell r="W522">
            <v>16.911625342272675</v>
          </cell>
        </row>
        <row r="539">
          <cell r="C539" t="str">
            <v>Receita</v>
          </cell>
          <cell r="M539">
            <v>75.817506777404574</v>
          </cell>
          <cell r="N539">
            <v>92.160584344596344</v>
          </cell>
          <cell r="O539">
            <v>103.24624939231508</v>
          </cell>
          <cell r="P539">
            <v>115.97437034005998</v>
          </cell>
          <cell r="Q539">
            <v>125.21313878952569</v>
          </cell>
          <cell r="R539">
            <v>139.12800542795142</v>
          </cell>
          <cell r="S539">
            <v>154.53451472011037</v>
          </cell>
          <cell r="T539">
            <v>173.88722898932156</v>
          </cell>
          <cell r="U539">
            <v>198.28154434274646</v>
          </cell>
          <cell r="V539">
            <v>223.84197963399828</v>
          </cell>
          <cell r="W539">
            <v>256.52020168886634</v>
          </cell>
        </row>
        <row r="540">
          <cell r="C540" t="str">
            <v>Nova Iguaçu Plant</v>
          </cell>
          <cell r="M540">
            <v>36.836909382717273</v>
          </cell>
          <cell r="N540">
            <v>42.9496635</v>
          </cell>
          <cell r="O540">
            <v>46.076753456777361</v>
          </cell>
          <cell r="P540">
            <v>49.453575645902596</v>
          </cell>
          <cell r="Q540">
            <v>53.455870453245382</v>
          </cell>
          <cell r="R540">
            <v>57.933857901853131</v>
          </cell>
          <cell r="S540">
            <v>62.788002276347996</v>
          </cell>
          <cell r="T540">
            <v>68.049994381780607</v>
          </cell>
          <cell r="U540">
            <v>73.754203278962493</v>
          </cell>
          <cell r="V540">
            <v>79.937903374252684</v>
          </cell>
          <cell r="W540">
            <v>86.641520830636409</v>
          </cell>
        </row>
        <row r="541">
          <cell r="C541" t="str">
            <v>São Gonçalo Plant</v>
          </cell>
          <cell r="M541">
            <v>18.884765072544496</v>
          </cell>
          <cell r="N541">
            <v>21.053654999999999</v>
          </cell>
          <cell r="O541">
            <v>22.232435716495843</v>
          </cell>
          <cell r="P541">
            <v>23.776007385823441</v>
          </cell>
          <cell r="Q541">
            <v>25.693773651001983</v>
          </cell>
          <cell r="R541">
            <v>29.005672397571956</v>
          </cell>
          <cell r="S541">
            <v>31.46362393682374</v>
          </cell>
          <cell r="T541">
            <v>34.130575143108949</v>
          </cell>
          <cell r="U541">
            <v>37.0243604711508</v>
          </cell>
          <cell r="V541">
            <v>40.164341826372848</v>
          </cell>
          <cell r="W541">
            <v>43.571539878145941</v>
          </cell>
        </row>
        <row r="542">
          <cell r="C542" t="str">
            <v>Barra Mansa Plant</v>
          </cell>
          <cell r="M542">
            <v>1.7566830484055806</v>
          </cell>
          <cell r="N542">
            <v>2.6533147860921216</v>
          </cell>
          <cell r="O542">
            <v>2.7115540082301464</v>
          </cell>
          <cell r="P542">
            <v>2.8428213021285806</v>
          </cell>
          <cell r="Q542">
            <v>3.0049691913308054</v>
          </cell>
          <cell r="R542">
            <v>3.1869389960834891</v>
          </cell>
          <cell r="S542">
            <v>3.380935647054665</v>
          </cell>
          <cell r="T542">
            <v>3.5878308177376321</v>
          </cell>
          <cell r="U542">
            <v>3.8085647209234521</v>
          </cell>
          <cell r="V542">
            <v>4.0441518394441909</v>
          </cell>
          <cell r="W542">
            <v>4.2956871561266059</v>
          </cell>
        </row>
        <row r="543">
          <cell r="C543" t="str">
            <v>Ecopesa Plant</v>
          </cell>
          <cell r="M543">
            <v>14.240186492267721</v>
          </cell>
          <cell r="N543">
            <v>21.436074499109559</v>
          </cell>
          <cell r="O543">
            <v>28.045361898066126</v>
          </cell>
          <cell r="P543">
            <v>33.389386853708253</v>
          </cell>
          <cell r="Q543">
            <v>36.050372942731798</v>
          </cell>
          <cell r="R543">
            <v>41.116130642878097</v>
          </cell>
          <cell r="S543">
            <v>45.536174564264826</v>
          </cell>
          <cell r="T543">
            <v>52.157710704607496</v>
          </cell>
          <cell r="U543">
            <v>59.889462933140805</v>
          </cell>
          <cell r="V543">
            <v>66.444818765701996</v>
          </cell>
          <cell r="W543">
            <v>75.318201242236</v>
          </cell>
        </row>
        <row r="544">
          <cell r="C544" t="str">
            <v>João Pessoa</v>
          </cell>
          <cell r="M544">
            <v>4.0989627814695</v>
          </cell>
          <cell r="N544">
            <v>4.0678765593946435</v>
          </cell>
          <cell r="O544">
            <v>4.1801443127455844</v>
          </cell>
          <cell r="P544">
            <v>6.5125791524970991</v>
          </cell>
          <cell r="Q544">
            <v>7.0081525512157361</v>
          </cell>
          <cell r="R544">
            <v>7.8854054895647527</v>
          </cell>
          <cell r="S544">
            <v>8.8940996922015074</v>
          </cell>
          <cell r="T544">
            <v>10.053562173672686</v>
          </cell>
          <cell r="U544">
            <v>11.385871556504055</v>
          </cell>
          <cell r="V544">
            <v>12.916241519622915</v>
          </cell>
          <cell r="W544">
            <v>14.673457019295522</v>
          </cell>
        </row>
        <row r="545">
          <cell r="C545" t="str">
            <v>New Projects - Ecoparks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2.4716786034176415</v>
          </cell>
          <cell r="T545">
            <v>5.9075557684141842</v>
          </cell>
          <cell r="U545">
            <v>12.419081382064871</v>
          </cell>
          <cell r="V545">
            <v>20.33452230860366</v>
          </cell>
          <cell r="W545">
            <v>32.019795562425905</v>
          </cell>
        </row>
        <row r="547">
          <cell r="C547" t="str">
            <v>Deductions</v>
          </cell>
        </row>
        <row r="548">
          <cell r="C548" t="str">
            <v>Nova Iguaçu Plant</v>
          </cell>
          <cell r="M548">
            <v>-7.6529160206515909</v>
          </cell>
          <cell r="N548">
            <v>-9.6972928650000014</v>
          </cell>
          <cell r="O548">
            <v>-10.562435222098809</v>
          </cell>
          <cell r="P548">
            <v>-11.423273692699865</v>
          </cell>
          <cell r="Q548">
            <v>-12.354270498654907</v>
          </cell>
          <cell r="R548">
            <v>-13.361143544295283</v>
          </cell>
          <cell r="S548">
            <v>-14.450076743155348</v>
          </cell>
          <cell r="T548">
            <v>-15.627757997722515</v>
          </cell>
          <cell r="U548">
            <v>-16.9014202745369</v>
          </cell>
          <cell r="V548">
            <v>-18.278886026911653</v>
          </cell>
          <cell r="W548">
            <v>-19.768615238104957</v>
          </cell>
        </row>
        <row r="549">
          <cell r="C549" t="str">
            <v>São Gonçalo Plant</v>
          </cell>
          <cell r="M549">
            <v>-0.23669155770361805</v>
          </cell>
          <cell r="N549">
            <v>-0.48143803679999997</v>
          </cell>
          <cell r="O549">
            <v>-0.55352203851209825</v>
          </cell>
          <cell r="P549">
            <v>-0.59863408465083434</v>
          </cell>
          <cell r="Q549">
            <v>-0.64742276254987741</v>
          </cell>
          <cell r="R549">
            <v>-1.8693897334288951</v>
          </cell>
          <cell r="S549">
            <v>-2.0217449967033501</v>
          </cell>
          <cell r="T549">
            <v>-2.1865172139346734</v>
          </cell>
          <cell r="U549">
            <v>-2.3647183668703486</v>
          </cell>
          <cell r="V549">
            <v>-2.5574429137702825</v>
          </cell>
          <cell r="W549">
            <v>-2.7658745112425605</v>
          </cell>
        </row>
        <row r="550">
          <cell r="C550" t="str">
            <v>Barra Mansa Plant</v>
          </cell>
          <cell r="M550">
            <v>-0.41448086906304582</v>
          </cell>
          <cell r="N550">
            <v>-0.46885004607078679</v>
          </cell>
          <cell r="O550">
            <v>-0.50576963620304161</v>
          </cell>
          <cell r="P550">
            <v>-0.53091587459826228</v>
          </cell>
          <cell r="Q550">
            <v>-0.55812189352333663</v>
          </cell>
          <cell r="R550">
            <v>-0.58707479259064632</v>
          </cell>
          <cell r="S550">
            <v>-0.61757197235868966</v>
          </cell>
          <cell r="T550">
            <v>-0.64969956779152194</v>
          </cell>
          <cell r="U550">
            <v>-0.68354884413696293</v>
          </cell>
          <cell r="V550">
            <v>-0.71921652946547177</v>
          </cell>
          <cell r="W550">
            <v>-0.7568051708541822</v>
          </cell>
        </row>
        <row r="551">
          <cell r="C551" t="str">
            <v>Ecopesa Plant</v>
          </cell>
          <cell r="M551">
            <v>-0.30657801421093855</v>
          </cell>
          <cell r="N551">
            <v>-0.44974805421749903</v>
          </cell>
          <cell r="O551">
            <v>-0.66298565911066365</v>
          </cell>
          <cell r="P551">
            <v>-0.81270511791651123</v>
          </cell>
          <cell r="Q551">
            <v>-0.87784133245582574</v>
          </cell>
          <cell r="R551">
            <v>-1.0223077696122229</v>
          </cell>
          <cell r="S551">
            <v>-1.1394730150837398</v>
          </cell>
          <cell r="T551">
            <v>-1.3329155092398488</v>
          </cell>
          <cell r="U551">
            <v>-1.562427284991893</v>
          </cell>
          <cell r="V551">
            <v>-1.7441358520648425</v>
          </cell>
          <cell r="W551">
            <v>-2.005138562922713</v>
          </cell>
        </row>
        <row r="552">
          <cell r="C552" t="str">
            <v>João Pessoa</v>
          </cell>
          <cell r="M552">
            <v>-2.8163965966016856E-2</v>
          </cell>
          <cell r="N552">
            <v>-7.3521621222766648E-2</v>
          </cell>
          <cell r="O552">
            <v>-7.9256125682887035E-2</v>
          </cell>
          <cell r="P552">
            <v>-0.1611986311612309</v>
          </cell>
          <cell r="Q552">
            <v>-0.17325871313507432</v>
          </cell>
          <cell r="R552">
            <v>-0.19765887098693774</v>
          </cell>
          <cell r="S552">
            <v>-0.22615323397476375</v>
          </cell>
          <cell r="T552">
            <v>-0.25938230366521831</v>
          </cell>
          <cell r="U552">
            <v>-0.29808102089113325</v>
          </cell>
          <cell r="V552">
            <v>-0.34309220824357506</v>
          </cell>
          <cell r="W552">
            <v>-0.3953818876758653</v>
          </cell>
        </row>
        <row r="554">
          <cell r="C554" t="str">
            <v>COGS</v>
          </cell>
        </row>
        <row r="555">
          <cell r="C555" t="str">
            <v>Nova Iguaçu Plant</v>
          </cell>
          <cell r="M555">
            <v>-5.5489894709555871</v>
          </cell>
          <cell r="N555">
            <v>-5.6365831735342873</v>
          </cell>
          <cell r="O555">
            <v>-5.891320994095012</v>
          </cell>
          <cell r="P555">
            <v>-6.166278394027894</v>
          </cell>
          <cell r="Q555">
            <v>-6.5313550066509771</v>
          </cell>
          <cell r="R555">
            <v>-6.9344668324528431</v>
          </cell>
          <cell r="S555">
            <v>-7.363795445226839</v>
          </cell>
          <cell r="T555">
            <v>-7.8211357282936156</v>
          </cell>
          <cell r="U555">
            <v>-8.3084112007168898</v>
          </cell>
          <cell r="V555">
            <v>-8.8276835874523893</v>
          </cell>
          <cell r="W555">
            <v>-9.3811631220259866</v>
          </cell>
        </row>
        <row r="556">
          <cell r="C556" t="str">
            <v>São Gonçalo Plant</v>
          </cell>
          <cell r="M556">
            <v>-2.6300913637699601</v>
          </cell>
          <cell r="N556">
            <v>-2.3257974204382914</v>
          </cell>
          <cell r="O556">
            <v>-2.4393580590259245</v>
          </cell>
          <cell r="P556">
            <v>-2.5317258095430004</v>
          </cell>
          <cell r="Q556">
            <v>-2.6576976606675791</v>
          </cell>
          <cell r="R556">
            <v>-2.8006655912767915</v>
          </cell>
          <cell r="S556">
            <v>-2.9514780606019437</v>
          </cell>
          <cell r="T556">
            <v>-3.1105769795952241</v>
          </cell>
          <cell r="U556">
            <v>-3.2784300082845865</v>
          </cell>
          <cell r="V556">
            <v>-3.4555321187919681</v>
          </cell>
          <cell r="W556">
            <v>-3.6424072577165107</v>
          </cell>
        </row>
        <row r="557">
          <cell r="C557" t="str">
            <v>Barra Mansa Plant</v>
          </cell>
          <cell r="M557">
            <v>-0.15981600000000001</v>
          </cell>
          <cell r="N557">
            <v>-0.23376508486455222</v>
          </cell>
          <cell r="O557">
            <v>-0.2582599965676779</v>
          </cell>
          <cell r="P557">
            <v>-0.26722450085951444</v>
          </cell>
          <cell r="Q557">
            <v>-0.28008200217301271</v>
          </cell>
          <cell r="R557">
            <v>-0.29455398486529644</v>
          </cell>
          <cell r="S557">
            <v>-0.30977586233842719</v>
          </cell>
          <cell r="T557">
            <v>-0.32578660801155634</v>
          </cell>
          <cell r="U557">
            <v>-0.34262722720166439</v>
          </cell>
          <cell r="V557">
            <v>-0.36034086340988586</v>
          </cell>
          <cell r="W557">
            <v>-0.37897291018725088</v>
          </cell>
        </row>
        <row r="558">
          <cell r="C558" t="str">
            <v>Ecopesa Plant</v>
          </cell>
          <cell r="M558">
            <v>-1.2632188679719749</v>
          </cell>
          <cell r="N558">
            <v>-1.4026377877603409</v>
          </cell>
          <cell r="O558">
            <v>-1.5054358844598956</v>
          </cell>
          <cell r="P558">
            <v>-1.6368254656885903</v>
          </cell>
          <cell r="Q558">
            <v>-1.717002169401745</v>
          </cell>
          <cell r="R558">
            <v>-1.8204872515749395</v>
          </cell>
          <cell r="S558">
            <v>-1.9305040841533054</v>
          </cell>
          <cell r="T558">
            <v>-2.0474893840494905</v>
          </cell>
          <cell r="U558">
            <v>-2.1719110177816741</v>
          </cell>
          <cell r="V558">
            <v>-2.304270370864907</v>
          </cell>
          <cell r="W558">
            <v>-2.4451049079345264</v>
          </cell>
        </row>
        <row r="559">
          <cell r="C559" t="str">
            <v>João Pessoa</v>
          </cell>
          <cell r="M559">
            <v>-0.19265200318910738</v>
          </cell>
          <cell r="N559">
            <v>-0.26428753383872294</v>
          </cell>
          <cell r="O559">
            <v>-0.2578540669268784</v>
          </cell>
          <cell r="P559">
            <v>-0.26155743104023366</v>
          </cell>
          <cell r="Q559">
            <v>-0.27432162104045754</v>
          </cell>
          <cell r="R559">
            <v>-0.2913609431347215</v>
          </cell>
          <cell r="S559">
            <v>-0.3095080461414329</v>
          </cell>
          <cell r="T559">
            <v>-0.32883907255461198</v>
          </cell>
          <cell r="U559">
            <v>-0.34943572713419374</v>
          </cell>
          <cell r="V559">
            <v>-0.37138570802075294</v>
          </cell>
          <cell r="W559">
            <v>-0.39478317302354771</v>
          </cell>
        </row>
        <row r="561">
          <cell r="C561" t="str">
            <v>Gross Income - Energy</v>
          </cell>
          <cell r="M561">
            <v>57.38390864392273</v>
          </cell>
          <cell r="N561">
            <v>71.126662720849069</v>
          </cell>
          <cell r="O561">
            <v>80.530051709632176</v>
          </cell>
          <cell r="P561">
            <v>91.584031337874038</v>
          </cell>
          <cell r="Q561">
            <v>99.141765129272926</v>
          </cell>
          <cell r="R561">
            <v>109.94889611373286</v>
          </cell>
          <cell r="S561">
            <v>123.13028933192074</v>
          </cell>
          <cell r="T561">
            <v>139.99474564775105</v>
          </cell>
          <cell r="U561">
            <v>161.59213217569067</v>
          </cell>
          <cell r="V561">
            <v>184.17476594114274</v>
          </cell>
          <cell r="W561">
            <v>213.46881222467061</v>
          </cell>
        </row>
        <row r="562">
          <cell r="C562" t="str">
            <v>Check</v>
          </cell>
          <cell r="M562">
            <v>57.383908643922737</v>
          </cell>
          <cell r="N562">
            <v>71.126662720849097</v>
          </cell>
          <cell r="O562">
            <v>80.53005170963219</v>
          </cell>
          <cell r="P562">
            <v>91.584031337874038</v>
          </cell>
          <cell r="Q562">
            <v>99.141765129272883</v>
          </cell>
          <cell r="R562">
            <v>109.94889611373284</v>
          </cell>
          <cell r="S562">
            <v>120.74275465695487</v>
          </cell>
          <cell r="T562">
            <v>134.28957285604906</v>
          </cell>
          <cell r="U562">
            <v>149.60145198813535</v>
          </cell>
          <cell r="V562">
            <v>164.54547114639888</v>
          </cell>
          <cell r="W562">
            <v>182.56615938475235</v>
          </cell>
        </row>
        <row r="563">
          <cell r="M563" t="b">
            <v>1</v>
          </cell>
          <cell r="N563" t="b">
            <v>1</v>
          </cell>
          <cell r="O563" t="b">
            <v>1</v>
          </cell>
          <cell r="P563" t="b">
            <v>1</v>
          </cell>
          <cell r="Q563" t="b">
            <v>1</v>
          </cell>
          <cell r="R563" t="b">
            <v>1</v>
          </cell>
          <cell r="S563" t="b">
            <v>0</v>
          </cell>
          <cell r="T563" t="b">
            <v>0</v>
          </cell>
          <cell r="U563" t="b">
            <v>0</v>
          </cell>
          <cell r="V563" t="b">
            <v>0</v>
          </cell>
          <cell r="W563" t="b">
            <v>0</v>
          </cell>
        </row>
        <row r="564">
          <cell r="C564" t="str">
            <v>Nova Iguaçu Plant</v>
          </cell>
          <cell r="M564">
            <v>23.635003891110095</v>
          </cell>
          <cell r="N564">
            <v>27.615787461465711</v>
          </cell>
          <cell r="O564">
            <v>29.622997240583544</v>
          </cell>
          <cell r="P564">
            <v>31.864023559174836</v>
          </cell>
          <cell r="Q564">
            <v>34.5702449479395</v>
          </cell>
          <cell r="R564">
            <v>37.638247525105008</v>
          </cell>
          <cell r="S564">
            <v>40.974130087965804</v>
          </cell>
          <cell r="T564">
            <v>44.601100655764483</v>
          </cell>
          <cell r="U564">
            <v>48.5443718037087</v>
          </cell>
          <cell r="V564">
            <v>52.831333759888643</v>
          </cell>
          <cell r="W564">
            <v>57.491742470505464</v>
          </cell>
        </row>
        <row r="565">
          <cell r="C565" t="str">
            <v>São Gonçalo Plant</v>
          </cell>
          <cell r="M565">
            <v>16.017982151070917</v>
          </cell>
          <cell r="N565">
            <v>18.246419542761707</v>
          </cell>
          <cell r="O565">
            <v>19.239555618957819</v>
          </cell>
          <cell r="P565">
            <v>20.645647491629607</v>
          </cell>
          <cell r="Q565">
            <v>22.388653227784527</v>
          </cell>
          <cell r="R565">
            <v>24.33561707286627</v>
          </cell>
          <cell r="S565">
            <v>26.490400879518447</v>
          </cell>
          <cell r="T565">
            <v>28.833480949579052</v>
          </cell>
          <cell r="U565">
            <v>31.381212095995863</v>
          </cell>
          <cell r="V565">
            <v>34.151366793810595</v>
          </cell>
          <cell r="W565">
            <v>37.16325810918687</v>
          </cell>
        </row>
        <row r="566">
          <cell r="C566" t="str">
            <v>Barra Mansa Plant</v>
          </cell>
          <cell r="M566">
            <v>1.182386179342535</v>
          </cell>
          <cell r="N566">
            <v>1.9506996551567823</v>
          </cell>
          <cell r="O566">
            <v>1.9475243754594267</v>
          </cell>
          <cell r="P566">
            <v>2.0446809266708037</v>
          </cell>
          <cell r="Q566">
            <v>2.1667652956344563</v>
          </cell>
          <cell r="R566">
            <v>2.3053102186275463</v>
          </cell>
          <cell r="S566">
            <v>2.4535878123575485</v>
          </cell>
          <cell r="T566">
            <v>2.6123446419345537</v>
          </cell>
          <cell r="U566">
            <v>2.7823886495848247</v>
          </cell>
          <cell r="V566">
            <v>2.9645944465688334</v>
          </cell>
          <cell r="W566">
            <v>3.1599090750851726</v>
          </cell>
        </row>
        <row r="567">
          <cell r="C567" t="str">
            <v>Ecopesa Plant</v>
          </cell>
          <cell r="M567">
            <v>12.670389610084808</v>
          </cell>
          <cell r="N567">
            <v>19.58368865713172</v>
          </cell>
          <cell r="O567">
            <v>25.876940354495567</v>
          </cell>
          <cell r="P567">
            <v>30.939856270103153</v>
          </cell>
          <cell r="Q567">
            <v>33.45552944087423</v>
          </cell>
          <cell r="R567">
            <v>38.273335621690933</v>
          </cell>
          <cell r="S567">
            <v>42.466197465027783</v>
          </cell>
          <cell r="T567">
            <v>48.777305811318158</v>
          </cell>
          <cell r="U567">
            <v>56.15512463036724</v>
          </cell>
          <cell r="V567">
            <v>62.396412542772246</v>
          </cell>
          <cell r="W567">
            <v>70.867957771378769</v>
          </cell>
        </row>
        <row r="568">
          <cell r="C568" t="str">
            <v>João Pessoa</v>
          </cell>
          <cell r="M568">
            <v>3.8781468123143759</v>
          </cell>
          <cell r="N568">
            <v>3.7300674043331541</v>
          </cell>
          <cell r="O568">
            <v>3.8430341201358189</v>
          </cell>
          <cell r="P568">
            <v>6.089823090295635</v>
          </cell>
          <cell r="Q568">
            <v>6.5605722170402041</v>
          </cell>
          <cell r="R568">
            <v>7.3963856754430939</v>
          </cell>
          <cell r="S568">
            <v>8.3584384120853112</v>
          </cell>
          <cell r="T568">
            <v>9.4653407974528569</v>
          </cell>
          <cell r="U568">
            <v>10.738354808478727</v>
          </cell>
          <cell r="V568">
            <v>12.201763603358586</v>
          </cell>
          <cell r="W568">
            <v>13.883291958596109</v>
          </cell>
        </row>
        <row r="569">
          <cell r="C569" t="str">
            <v>New Ecoparks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2.3875346749658446</v>
          </cell>
          <cell r="T569">
            <v>5.7051727917019228</v>
          </cell>
          <cell r="U569">
            <v>11.99068018755532</v>
          </cell>
          <cell r="V569">
            <v>19.629294794743821</v>
          </cell>
          <cell r="W569">
            <v>30.902652839918204</v>
          </cell>
        </row>
        <row r="571">
          <cell r="C571" t="str">
            <v>Gross Margin</v>
          </cell>
          <cell r="M571">
            <v>0.756868843134057</v>
          </cell>
          <cell r="N571">
            <v>0.7717687906025027</v>
          </cell>
          <cell r="O571">
            <v>0.7799804078464303</v>
          </cell>
          <cell r="P571">
            <v>0.78969199030209347</v>
          </cell>
          <cell r="Q571">
            <v>0.79178404189613938</v>
          </cell>
          <cell r="R571">
            <v>0.79027148973734695</v>
          </cell>
          <cell r="S571">
            <v>0.79678180343680316</v>
          </cell>
          <cell r="T571">
            <v>0.805089289543789</v>
          </cell>
          <cell r="U571">
            <v>0.8149630501987869</v>
          </cell>
          <cell r="V571">
            <v>0.82278921157811868</v>
          </cell>
          <cell r="W571">
            <v>0.83217154368055268</v>
          </cell>
        </row>
        <row r="607">
          <cell r="A607">
            <v>3</v>
          </cell>
          <cell r="C607" t="str">
            <v>WtE</v>
          </cell>
          <cell r="M607">
            <v>0</v>
          </cell>
          <cell r="N607">
            <v>0</v>
          </cell>
          <cell r="O607">
            <v>33.052999999999997</v>
          </cell>
          <cell r="P607">
            <v>84.176000000000002</v>
          </cell>
          <cell r="Q607">
            <v>130.45099999999999</v>
          </cell>
          <cell r="R607">
            <v>159.06135196385716</v>
          </cell>
          <cell r="S607">
            <v>193.50355774912512</v>
          </cell>
          <cell r="T607">
            <v>209.37055774912517</v>
          </cell>
          <cell r="U607">
            <v>209.37055774912511</v>
          </cell>
          <cell r="V607">
            <v>209.37055774912511</v>
          </cell>
          <cell r="W607">
            <v>209.37055774912511</v>
          </cell>
        </row>
        <row r="609">
          <cell r="C609" t="str">
            <v>Recycling Volume:</v>
          </cell>
        </row>
        <row r="610">
          <cell r="C610" t="str">
            <v>UTM Duque de Caxias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13.221</v>
          </cell>
          <cell r="R610">
            <v>21.154</v>
          </cell>
          <cell r="S610">
            <v>21.154</v>
          </cell>
          <cell r="T610">
            <v>21.154</v>
          </cell>
          <cell r="U610">
            <v>21.153999999999996</v>
          </cell>
          <cell r="V610">
            <v>21.154000000000007</v>
          </cell>
          <cell r="W610">
            <v>21.153999999999996</v>
          </cell>
        </row>
        <row r="611">
          <cell r="C611" t="str">
            <v>UTM Nova Iguaçu</v>
          </cell>
          <cell r="M611">
            <v>0</v>
          </cell>
          <cell r="N611">
            <v>0</v>
          </cell>
          <cell r="O611">
            <v>0</v>
          </cell>
          <cell r="P611">
            <v>19.832000000000001</v>
          </cell>
          <cell r="Q611">
            <v>31.732000000000003</v>
          </cell>
          <cell r="R611">
            <v>31.731999999999999</v>
          </cell>
          <cell r="S611">
            <v>31.731999999999999</v>
          </cell>
          <cell r="T611">
            <v>31.731999999999999</v>
          </cell>
          <cell r="U611">
            <v>31.732000000000003</v>
          </cell>
          <cell r="V611">
            <v>31.731999999999996</v>
          </cell>
          <cell r="W611">
            <v>31.732000000000003</v>
          </cell>
        </row>
        <row r="612">
          <cell r="C612" t="str">
            <v>UTM São Gonçalo</v>
          </cell>
          <cell r="M612">
            <v>0</v>
          </cell>
          <cell r="N612">
            <v>0</v>
          </cell>
          <cell r="O612">
            <v>13.221</v>
          </cell>
          <cell r="P612">
            <v>21.154</v>
          </cell>
          <cell r="Q612">
            <v>21.154</v>
          </cell>
          <cell r="R612">
            <v>21.154000000000003</v>
          </cell>
          <cell r="S612">
            <v>27.763999999999999</v>
          </cell>
          <cell r="T612">
            <v>31.731000000000002</v>
          </cell>
          <cell r="U612">
            <v>31.731000000000002</v>
          </cell>
          <cell r="V612">
            <v>31.731000000000002</v>
          </cell>
          <cell r="W612">
            <v>31.730999999999995</v>
          </cell>
        </row>
        <row r="613">
          <cell r="C613" t="str">
            <v>UTM Recife I, II and III</v>
          </cell>
          <cell r="M613">
            <v>0</v>
          </cell>
          <cell r="N613">
            <v>0</v>
          </cell>
          <cell r="O613">
            <v>19.832000000000001</v>
          </cell>
          <cell r="P613">
            <v>31.731999999999999</v>
          </cell>
          <cell r="Q613">
            <v>31.731999999999996</v>
          </cell>
          <cell r="R613">
            <v>31.732000000000003</v>
          </cell>
          <cell r="S613">
            <v>51.563999999999986</v>
          </cell>
          <cell r="T613">
            <v>63.464000000000013</v>
          </cell>
          <cell r="U613">
            <v>63.463999999999963</v>
          </cell>
          <cell r="V613">
            <v>63.46399999999997</v>
          </cell>
          <cell r="W613">
            <v>63.463999999999984</v>
          </cell>
        </row>
        <row r="614">
          <cell r="C614" t="str">
            <v>UTM João Pessoa I and II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11.458</v>
          </cell>
          <cell r="R614">
            <v>21.154</v>
          </cell>
          <cell r="S614">
            <v>21.154</v>
          </cell>
          <cell r="T614">
            <v>21.154</v>
          </cell>
          <cell r="U614">
            <v>21.153999999999996</v>
          </cell>
          <cell r="V614">
            <v>21.154</v>
          </cell>
          <cell r="W614">
            <v>21.154</v>
          </cell>
        </row>
        <row r="615">
          <cell r="C615" t="str">
            <v>UTM Rio Grande do Sul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5.7290000000000001</v>
          </cell>
          <cell r="S615">
            <v>10.577</v>
          </cell>
          <cell r="T615">
            <v>10.577000000000002</v>
          </cell>
          <cell r="U615">
            <v>10.577000000000002</v>
          </cell>
          <cell r="V615">
            <v>10.577</v>
          </cell>
          <cell r="W615">
            <v>10.577</v>
          </cell>
        </row>
        <row r="616">
          <cell r="C616" t="str">
            <v>UTM Minas Gerais</v>
          </cell>
          <cell r="M616">
            <v>0</v>
          </cell>
          <cell r="N616">
            <v>0</v>
          </cell>
          <cell r="O616">
            <v>0</v>
          </cell>
          <cell r="P616">
            <v>11.458000000000002</v>
          </cell>
          <cell r="Q616">
            <v>21.154</v>
          </cell>
          <cell r="R616">
            <v>21.154</v>
          </cell>
          <cell r="S616">
            <v>21.154</v>
          </cell>
          <cell r="T616">
            <v>21.154</v>
          </cell>
          <cell r="U616">
            <v>21.154</v>
          </cell>
          <cell r="V616">
            <v>21.154</v>
          </cell>
          <cell r="W616">
            <v>21.154</v>
          </cell>
        </row>
        <row r="617">
          <cell r="C617" t="str">
            <v>UTM Barra Mansa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5.2523519638571683</v>
          </cell>
          <cell r="S617">
            <v>8.4045577491251535</v>
          </cell>
          <cell r="T617">
            <v>8.4045577491251553</v>
          </cell>
          <cell r="U617">
            <v>8.4045577491251535</v>
          </cell>
          <cell r="V617">
            <v>8.4045577491251553</v>
          </cell>
          <cell r="W617">
            <v>8.4045577491251535</v>
          </cell>
        </row>
        <row r="619">
          <cell r="C619" t="str">
            <v>Recycling Credits Volume:</v>
          </cell>
          <cell r="M619">
            <v>0</v>
          </cell>
          <cell r="N619">
            <v>0</v>
          </cell>
          <cell r="O619">
            <v>154.97349649458255</v>
          </cell>
          <cell r="P619">
            <v>334.46784500240756</v>
          </cell>
          <cell r="Q619">
            <v>417.72140492816334</v>
          </cell>
          <cell r="R619">
            <v>445.70394352604262</v>
          </cell>
          <cell r="S619">
            <v>479.39036423138305</v>
          </cell>
          <cell r="T619">
            <v>494.90918554799748</v>
          </cell>
          <cell r="U619">
            <v>494.90918554799737</v>
          </cell>
          <cell r="V619">
            <v>494.90918554799742</v>
          </cell>
          <cell r="W619">
            <v>494.90918554799759</v>
          </cell>
        </row>
        <row r="620">
          <cell r="C620" t="str">
            <v>UTM Duque de Caxias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12.930884012539185</v>
          </cell>
          <cell r="R620">
            <v>20.689805642633228</v>
          </cell>
          <cell r="S620">
            <v>20.689805642633228</v>
          </cell>
          <cell r="T620">
            <v>20.689805642633228</v>
          </cell>
          <cell r="U620">
            <v>20.689805642633225</v>
          </cell>
          <cell r="V620">
            <v>20.689805642633235</v>
          </cell>
          <cell r="W620">
            <v>20.689805642633225</v>
          </cell>
        </row>
        <row r="621">
          <cell r="C621" t="str">
            <v>UTM Nova Iguaçu</v>
          </cell>
          <cell r="M621">
            <v>0</v>
          </cell>
          <cell r="N621">
            <v>0</v>
          </cell>
          <cell r="O621">
            <v>0</v>
          </cell>
          <cell r="P621">
            <v>19.396815047021946</v>
          </cell>
          <cell r="Q621">
            <v>31.035686520376181</v>
          </cell>
          <cell r="R621">
            <v>31.035686520376178</v>
          </cell>
          <cell r="S621">
            <v>31.035686520376178</v>
          </cell>
          <cell r="T621">
            <v>31.035686520376178</v>
          </cell>
          <cell r="U621">
            <v>31.035686520376181</v>
          </cell>
          <cell r="V621">
            <v>31.035686520376174</v>
          </cell>
          <cell r="W621">
            <v>31.035686520376181</v>
          </cell>
        </row>
        <row r="622">
          <cell r="C622" t="str">
            <v>UTM São Gonçalo</v>
          </cell>
          <cell r="M622">
            <v>0</v>
          </cell>
          <cell r="N622">
            <v>0</v>
          </cell>
          <cell r="O622">
            <v>57.862692160611857</v>
          </cell>
          <cell r="P622">
            <v>103.58479158699808</v>
          </cell>
          <cell r="Q622">
            <v>103.58479158699808</v>
          </cell>
          <cell r="R622">
            <v>103.58479158699809</v>
          </cell>
          <cell r="S622">
            <v>110.04974456505452</v>
          </cell>
          <cell r="T622">
            <v>113.9296944083147</v>
          </cell>
          <cell r="U622">
            <v>113.9296944083147</v>
          </cell>
          <cell r="V622">
            <v>113.9296944083147</v>
          </cell>
          <cell r="W622">
            <v>113.92969440831467</v>
          </cell>
        </row>
        <row r="623">
          <cell r="C623" t="str">
            <v>UTM Recife I, II and III</v>
          </cell>
          <cell r="M623">
            <v>0</v>
          </cell>
          <cell r="N623">
            <v>0</v>
          </cell>
          <cell r="O623">
            <v>97.110804333970705</v>
          </cell>
          <cell r="P623">
            <v>155.37868068833652</v>
          </cell>
          <cell r="Q623">
            <v>155.37868068833652</v>
          </cell>
          <cell r="R623">
            <v>155.37868068833654</v>
          </cell>
          <cell r="S623">
            <v>174.77549573535845</v>
          </cell>
          <cell r="T623">
            <v>186.41436720871266</v>
          </cell>
          <cell r="U623">
            <v>186.4143672087126</v>
          </cell>
          <cell r="V623">
            <v>186.41436720871269</v>
          </cell>
          <cell r="W623">
            <v>186.41436720871283</v>
          </cell>
        </row>
        <row r="624">
          <cell r="C624" t="str">
            <v>UTM João Pessoa I and II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11.206570532915361</v>
          </cell>
          <cell r="R624">
            <v>20.689805642633228</v>
          </cell>
          <cell r="S624">
            <v>20.689805642633228</v>
          </cell>
          <cell r="T624">
            <v>20.689805642633228</v>
          </cell>
          <cell r="U624">
            <v>20.689805642633225</v>
          </cell>
          <cell r="V624">
            <v>20.689805642633228</v>
          </cell>
          <cell r="W624">
            <v>20.689805642633228</v>
          </cell>
        </row>
        <row r="625">
          <cell r="C625" t="str">
            <v>UTM Rio Grande do Sul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5.6032852664576804</v>
          </cell>
          <cell r="S625">
            <v>10.344902821316614</v>
          </cell>
          <cell r="T625">
            <v>10.344902821316616</v>
          </cell>
          <cell r="U625">
            <v>10.344902821316616</v>
          </cell>
          <cell r="V625">
            <v>10.344902821316614</v>
          </cell>
          <cell r="W625">
            <v>10.344902821316614</v>
          </cell>
        </row>
        <row r="626">
          <cell r="C626" t="str">
            <v>UTM Minas Gerais</v>
          </cell>
          <cell r="M626">
            <v>0</v>
          </cell>
          <cell r="N626">
            <v>0</v>
          </cell>
          <cell r="O626">
            <v>0</v>
          </cell>
          <cell r="P626">
            <v>56.107557680051002</v>
          </cell>
          <cell r="Q626">
            <v>103.58479158699808</v>
          </cell>
          <cell r="R626">
            <v>103.58479158699809</v>
          </cell>
          <cell r="S626">
            <v>103.58479158699808</v>
          </cell>
          <cell r="T626">
            <v>103.58479158699809</v>
          </cell>
          <cell r="U626">
            <v>103.58479158699808</v>
          </cell>
          <cell r="V626">
            <v>103.58479158699807</v>
          </cell>
          <cell r="W626">
            <v>103.58479158699808</v>
          </cell>
        </row>
        <row r="627">
          <cell r="C627" t="str">
            <v>UTM Barra Mansa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5.1370965916095193</v>
          </cell>
          <cell r="S627">
            <v>8.2201317170126895</v>
          </cell>
          <cell r="T627">
            <v>8.2201317170126913</v>
          </cell>
          <cell r="U627">
            <v>8.2201317170126895</v>
          </cell>
          <cell r="V627">
            <v>8.2201317170126913</v>
          </cell>
          <cell r="W627">
            <v>8.2201317170126895</v>
          </cell>
        </row>
        <row r="629">
          <cell r="C629" t="str">
            <v>Derived Fuel Volume:</v>
          </cell>
          <cell r="M629">
            <v>0</v>
          </cell>
          <cell r="N629">
            <v>0</v>
          </cell>
          <cell r="O629">
            <v>122.61500000000001</v>
          </cell>
          <cell r="P629">
            <v>252.13900000000001</v>
          </cell>
          <cell r="Q629">
            <v>290.13299999999998</v>
          </cell>
          <cell r="R629">
            <v>290.13300000000004</v>
          </cell>
          <cell r="S629">
            <v>290.13300000000004</v>
          </cell>
          <cell r="T629">
            <v>290.13299999999992</v>
          </cell>
          <cell r="U629">
            <v>290.13299999999992</v>
          </cell>
          <cell r="V629">
            <v>290.13299999999998</v>
          </cell>
          <cell r="W629">
            <v>290.1330000000001</v>
          </cell>
        </row>
        <row r="630">
          <cell r="C630" t="str">
            <v>UTM São Gonçalo</v>
          </cell>
          <cell r="M630">
            <v>0</v>
          </cell>
          <cell r="N630">
            <v>0</v>
          </cell>
          <cell r="O630">
            <v>44.901000000000003</v>
          </cell>
          <cell r="P630">
            <v>82.894999999999996</v>
          </cell>
          <cell r="Q630">
            <v>82.894999999999996</v>
          </cell>
          <cell r="R630">
            <v>82.894999999999996</v>
          </cell>
          <cell r="S630">
            <v>82.89500000000001</v>
          </cell>
          <cell r="T630">
            <v>82.894999999999996</v>
          </cell>
          <cell r="U630">
            <v>82.894999999999996</v>
          </cell>
          <cell r="V630">
            <v>82.894999999999996</v>
          </cell>
          <cell r="W630">
            <v>82.894999999999982</v>
          </cell>
        </row>
        <row r="631">
          <cell r="C631" t="str">
            <v>UTM Recife I, II and III</v>
          </cell>
          <cell r="M631">
            <v>0</v>
          </cell>
          <cell r="N631">
            <v>0</v>
          </cell>
          <cell r="O631">
            <v>77.714000000000013</v>
          </cell>
          <cell r="P631">
            <v>124.343</v>
          </cell>
          <cell r="Q631">
            <v>124.343</v>
          </cell>
          <cell r="R631">
            <v>124.343</v>
          </cell>
          <cell r="S631">
            <v>124.34300000000002</v>
          </cell>
          <cell r="T631">
            <v>124.34299999999995</v>
          </cell>
          <cell r="U631">
            <v>124.34299999999995</v>
          </cell>
          <cell r="V631">
            <v>124.343</v>
          </cell>
          <cell r="W631">
            <v>124.34300000000013</v>
          </cell>
        </row>
        <row r="632">
          <cell r="C632" t="str">
            <v>UTM Minas Gerais</v>
          </cell>
          <cell r="M632">
            <v>0</v>
          </cell>
          <cell r="N632">
            <v>0</v>
          </cell>
          <cell r="O632">
            <v>0</v>
          </cell>
          <cell r="P632">
            <v>44.901000000000003</v>
          </cell>
          <cell r="Q632">
            <v>82.894999999999996</v>
          </cell>
          <cell r="R632">
            <v>82.89500000000001</v>
          </cell>
          <cell r="S632">
            <v>82.894999999999996</v>
          </cell>
          <cell r="T632">
            <v>82.89500000000001</v>
          </cell>
          <cell r="U632">
            <v>82.894999999999996</v>
          </cell>
          <cell r="V632">
            <v>82.894999999999982</v>
          </cell>
          <cell r="W632">
            <v>82.894999999999996</v>
          </cell>
        </row>
        <row r="634">
          <cell r="C634" t="str">
            <v>Gate Fee:</v>
          </cell>
        </row>
        <row r="635">
          <cell r="C635" t="str">
            <v>UTM Nova Iguaçu</v>
          </cell>
          <cell r="M635">
            <v>0</v>
          </cell>
          <cell r="N635">
            <v>0</v>
          </cell>
          <cell r="O635">
            <v>0</v>
          </cell>
          <cell r="P635">
            <v>180</v>
          </cell>
          <cell r="Q635">
            <v>180</v>
          </cell>
          <cell r="R635">
            <v>180</v>
          </cell>
          <cell r="S635">
            <v>180</v>
          </cell>
          <cell r="T635">
            <v>180</v>
          </cell>
          <cell r="U635">
            <v>180</v>
          </cell>
          <cell r="V635">
            <v>180</v>
          </cell>
          <cell r="W635">
            <v>180</v>
          </cell>
        </row>
        <row r="637">
          <cell r="C637" t="str">
            <v>Volume Total - UBM</v>
          </cell>
          <cell r="M637">
            <v>2.5407891666666678</v>
          </cell>
          <cell r="N637">
            <v>2.578901004166668</v>
          </cell>
          <cell r="O637">
            <v>30.242584519229172</v>
          </cell>
          <cell r="P637">
            <v>42.059348287017613</v>
          </cell>
          <cell r="Q637">
            <v>45.440951011322873</v>
          </cell>
          <cell r="R637">
            <v>63.475801526492717</v>
          </cell>
          <cell r="S637">
            <v>67.030698799390109</v>
          </cell>
          <cell r="T637">
            <v>70.937595931380969</v>
          </cell>
          <cell r="U637">
            <v>75.231640560351693</v>
          </cell>
          <cell r="V637">
            <v>79.95149430275697</v>
          </cell>
          <cell r="W637">
            <v>85.139684139698346</v>
          </cell>
        </row>
        <row r="638">
          <cell r="C638" t="str">
            <v>Mage Station</v>
          </cell>
          <cell r="M638">
            <v>2.5407891666666678</v>
          </cell>
          <cell r="N638">
            <v>2.578901004166668</v>
          </cell>
          <cell r="O638">
            <v>29.017584519229171</v>
          </cell>
          <cell r="P638">
            <v>31.696848287017612</v>
          </cell>
          <cell r="Q638">
            <v>34.640701011322875</v>
          </cell>
          <cell r="R638">
            <v>37.875551526492721</v>
          </cell>
          <cell r="S638">
            <v>41.430448799390113</v>
          </cell>
          <cell r="T638">
            <v>45.337345931380973</v>
          </cell>
          <cell r="U638">
            <v>49.631390560351697</v>
          </cell>
          <cell r="V638">
            <v>54.351244302756974</v>
          </cell>
          <cell r="W638">
            <v>59.539434139698344</v>
          </cell>
        </row>
        <row r="639">
          <cell r="C639" t="str">
            <v>Pulp &amp; Paper</v>
          </cell>
          <cell r="M639">
            <v>0</v>
          </cell>
          <cell r="N639">
            <v>0</v>
          </cell>
          <cell r="O639">
            <v>1.2250000000000001</v>
          </cell>
          <cell r="P639">
            <v>10.362500000000001</v>
          </cell>
          <cell r="Q639">
            <v>10.80025</v>
          </cell>
          <cell r="R639">
            <v>10.80025</v>
          </cell>
          <cell r="S639">
            <v>10.80025</v>
          </cell>
          <cell r="T639">
            <v>10.80025</v>
          </cell>
          <cell r="U639">
            <v>10.80025</v>
          </cell>
          <cell r="V639">
            <v>10.80025</v>
          </cell>
          <cell r="W639">
            <v>10.80025</v>
          </cell>
        </row>
        <row r="640">
          <cell r="C640" t="str">
            <v>New Projects - UBM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177.6</v>
          </cell>
          <cell r="S640">
            <v>177.6</v>
          </cell>
          <cell r="T640">
            <v>177.6</v>
          </cell>
          <cell r="U640">
            <v>177.6</v>
          </cell>
          <cell r="V640">
            <v>177.6</v>
          </cell>
          <cell r="W640">
            <v>177.6</v>
          </cell>
        </row>
        <row r="641">
          <cell r="C641" t="str">
            <v>New Projects - UBM Monthly basis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14.799999999999999</v>
          </cell>
          <cell r="S641">
            <v>14.799999999999999</v>
          </cell>
          <cell r="T641">
            <v>14.799999999999999</v>
          </cell>
          <cell r="U641">
            <v>14.799999999999999</v>
          </cell>
          <cell r="V641">
            <v>14.799999999999999</v>
          </cell>
          <cell r="W641">
            <v>14.799999999999999</v>
          </cell>
        </row>
        <row r="643">
          <cell r="C643" t="str">
            <v>Volume Total - WtE</v>
          </cell>
        </row>
        <row r="644">
          <cell r="C644" t="str">
            <v>Energy</v>
          </cell>
          <cell r="M644">
            <v>0</v>
          </cell>
          <cell r="N644">
            <v>37536</v>
          </cell>
          <cell r="O644">
            <v>0</v>
          </cell>
          <cell r="P644">
            <v>0</v>
          </cell>
          <cell r="Q644">
            <v>129591.99999999999</v>
          </cell>
          <cell r="R644">
            <v>129591.99999999999</v>
          </cell>
          <cell r="S644">
            <v>129591.99999999999</v>
          </cell>
          <cell r="T644">
            <v>129591.99999999999</v>
          </cell>
          <cell r="U644">
            <v>129591.99999999999</v>
          </cell>
          <cell r="V644">
            <v>129591.99999999999</v>
          </cell>
          <cell r="W644">
            <v>129591.99999999999</v>
          </cell>
        </row>
        <row r="645">
          <cell r="C645" t="str">
            <v>MSW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26.535</v>
          </cell>
          <cell r="R645">
            <v>26.535</v>
          </cell>
          <cell r="S645">
            <v>26.535</v>
          </cell>
          <cell r="T645">
            <v>26.535</v>
          </cell>
          <cell r="U645">
            <v>26.535</v>
          </cell>
          <cell r="V645">
            <v>26.535</v>
          </cell>
          <cell r="W645">
            <v>26.535</v>
          </cell>
        </row>
        <row r="646">
          <cell r="C646" t="str">
            <v>Carbon Credits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0.41616666666666702</v>
          </cell>
          <cell r="R646">
            <v>3.62008333333333</v>
          </cell>
          <cell r="S646">
            <v>5.8645349999999947</v>
          </cell>
          <cell r="T646">
            <v>7.4479594499999937</v>
          </cell>
          <cell r="U646">
            <v>8.5651533674999918</v>
          </cell>
          <cell r="V646">
            <v>9.3788429374124913</v>
          </cell>
          <cell r="W646">
            <v>9.9884677283443022</v>
          </cell>
        </row>
        <row r="647">
          <cell r="C647" t="str">
            <v>Recycling Credits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26.535</v>
          </cell>
          <cell r="R647">
            <v>26.535</v>
          </cell>
          <cell r="S647">
            <v>26.535</v>
          </cell>
          <cell r="T647">
            <v>26.535</v>
          </cell>
          <cell r="U647">
            <v>26.535</v>
          </cell>
          <cell r="V647">
            <v>26.535</v>
          </cell>
          <cell r="W647">
            <v>26.535</v>
          </cell>
        </row>
        <row r="681">
          <cell r="C681" t="str">
            <v>Gross Revenue - WTE TOTAL</v>
          </cell>
        </row>
        <row r="682">
          <cell r="C682" t="str">
            <v>Check</v>
          </cell>
          <cell r="M682">
            <v>57.181986609999981</v>
          </cell>
          <cell r="N682">
            <v>44.820152101805704</v>
          </cell>
          <cell r="O682">
            <v>84.158549330669445</v>
          </cell>
          <cell r="P682">
            <v>156.15017068353322</v>
          </cell>
          <cell r="Q682">
            <v>307.95416460436269</v>
          </cell>
          <cell r="R682">
            <v>344.28721293161789</v>
          </cell>
          <cell r="S682">
            <v>397.92022509646415</v>
          </cell>
          <cell r="T682">
            <v>439.87392578102737</v>
          </cell>
          <cell r="U682">
            <v>465.4322808555284</v>
          </cell>
          <cell r="V682">
            <v>492.71965050144013</v>
          </cell>
          <cell r="W682">
            <v>521.91122320790259</v>
          </cell>
        </row>
        <row r="684">
          <cell r="C684" t="str">
            <v>Gross Revenue - UTM</v>
          </cell>
          <cell r="M684">
            <v>0</v>
          </cell>
          <cell r="N684">
            <v>0</v>
          </cell>
          <cell r="O684">
            <v>52.335804536255054</v>
          </cell>
          <cell r="P684">
            <v>113.05003420302312</v>
          </cell>
          <cell r="Q684">
            <v>152.44126707529165</v>
          </cell>
          <cell r="R684">
            <v>181.32192386076301</v>
          </cell>
          <cell r="S684">
            <v>223.89209003985968</v>
          </cell>
          <cell r="T684">
            <v>253.9441408533379</v>
          </cell>
          <cell r="U684">
            <v>266.64134789600467</v>
          </cell>
          <cell r="V684">
            <v>279.97341529080501</v>
          </cell>
          <cell r="W684">
            <v>293.97208605534536</v>
          </cell>
        </row>
        <row r="685">
          <cell r="C685" t="str">
            <v>UTM Duque de Caxias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13.600270404665237</v>
          </cell>
          <cell r="R685">
            <v>22.848886328364184</v>
          </cell>
          <cell r="S685">
            <v>23.991330644782391</v>
          </cell>
          <cell r="T685">
            <v>25.190897177021512</v>
          </cell>
          <cell r="U685">
            <v>26.450442035872584</v>
          </cell>
          <cell r="V685">
            <v>27.772964137666229</v>
          </cell>
          <cell r="W685">
            <v>29.161612344549532</v>
          </cell>
        </row>
        <row r="686">
          <cell r="C686" t="str">
            <v>UTM Nova Iguaçu</v>
          </cell>
          <cell r="M686">
            <v>0</v>
          </cell>
          <cell r="N686">
            <v>0</v>
          </cell>
          <cell r="O686">
            <v>0</v>
          </cell>
          <cell r="P686">
            <v>23.438465751487509</v>
          </cell>
          <cell r="Q686">
            <v>36.85176395892546</v>
          </cell>
          <cell r="R686">
            <v>38.694352156871737</v>
          </cell>
          <cell r="S686">
            <v>40.629069764715332</v>
          </cell>
          <cell r="T686">
            <v>42.660523252951094</v>
          </cell>
          <cell r="U686">
            <v>44.793549415598648</v>
          </cell>
          <cell r="V686">
            <v>47.033226886378579</v>
          </cell>
          <cell r="W686">
            <v>49.38488823069752</v>
          </cell>
        </row>
        <row r="687">
          <cell r="C687" t="str">
            <v>UTM São Gonçalo</v>
          </cell>
          <cell r="M687">
            <v>0</v>
          </cell>
          <cell r="N687">
            <v>0</v>
          </cell>
          <cell r="O687">
            <v>18.919527367378247</v>
          </cell>
          <cell r="P687">
            <v>33.471313794757087</v>
          </cell>
          <cell r="Q687">
            <v>35.144879484494943</v>
          </cell>
          <cell r="R687">
            <v>36.9021234587197</v>
          </cell>
          <cell r="S687">
            <v>46.184282476649408</v>
          </cell>
          <cell r="T687">
            <v>53.180021270360029</v>
          </cell>
          <cell r="U687">
            <v>55.839022333878027</v>
          </cell>
          <cell r="V687">
            <v>58.630973450571929</v>
          </cell>
          <cell r="W687">
            <v>61.562522123100528</v>
          </cell>
        </row>
        <row r="688">
          <cell r="C688" t="str">
            <v>UTM Recife I, II and III</v>
          </cell>
          <cell r="M688">
            <v>0</v>
          </cell>
          <cell r="N688">
            <v>0</v>
          </cell>
          <cell r="O688">
            <v>33.416277168876803</v>
          </cell>
          <cell r="P688">
            <v>56.140254656778524</v>
          </cell>
          <cell r="Q688">
            <v>58.947267389617451</v>
          </cell>
          <cell r="R688">
            <v>61.894630759098334</v>
          </cell>
          <cell r="S688">
            <v>87.481376542459529</v>
          </cell>
          <cell r="T688">
            <v>106.02636701118958</v>
          </cell>
          <cell r="U688">
            <v>111.32768536174899</v>
          </cell>
          <cell r="V688">
            <v>116.89406962983648</v>
          </cell>
          <cell r="W688">
            <v>122.73877311132837</v>
          </cell>
        </row>
        <row r="689">
          <cell r="C689" t="str">
            <v>UTM João Pessoa I and II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7.8970858375885582</v>
          </cell>
          <cell r="R689">
            <v>15.308753840004</v>
          </cell>
          <cell r="S689">
            <v>16.074191532004196</v>
          </cell>
          <cell r="T689">
            <v>16.877901108604409</v>
          </cell>
          <cell r="U689">
            <v>17.721796164034622</v>
          </cell>
          <cell r="V689">
            <v>18.607885972236357</v>
          </cell>
          <cell r="W689">
            <v>19.53828027084818</v>
          </cell>
        </row>
        <row r="690">
          <cell r="C690" t="str">
            <v>UTM Barra Mansa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5.6731773177050577</v>
          </cell>
          <cell r="S690">
            <v>9.5318390792488206</v>
          </cell>
          <cell r="T690">
            <v>10.008431033211263</v>
          </cell>
          <cell r="U690">
            <v>10.508852584871825</v>
          </cell>
          <cell r="V690">
            <v>11.034295214115419</v>
          </cell>
          <cell r="W690">
            <v>11.58600997482119</v>
          </cell>
        </row>
        <row r="692">
          <cell r="C692" t="str">
            <v>Gross Revenue - WTE</v>
          </cell>
        </row>
        <row r="693">
          <cell r="C693" t="str">
            <v>URE Barueri</v>
          </cell>
          <cell r="M693">
            <v>45.201388649999984</v>
          </cell>
          <cell r="N693">
            <v>32.471360414999999</v>
          </cell>
          <cell r="O693">
            <v>0</v>
          </cell>
          <cell r="P693">
            <v>0</v>
          </cell>
          <cell r="Q693">
            <v>94.113227848654304</v>
          </cell>
          <cell r="R693">
            <v>96.274298639985233</v>
          </cell>
          <cell r="S693">
            <v>101.45716431187806</v>
          </cell>
          <cell r="T693">
            <v>106.81183588511045</v>
          </cell>
          <cell r="U693">
            <v>112.36925933520575</v>
          </cell>
          <cell r="V693">
            <v>118.16120638459003</v>
          </cell>
          <cell r="W693">
            <v>124.21311091774089</v>
          </cell>
        </row>
        <row r="695">
          <cell r="C695" t="str">
            <v>Gross Revenue - UBM</v>
          </cell>
          <cell r="M695">
            <v>11.980597960000001</v>
          </cell>
          <cell r="N695">
            <v>12.348791686805702</v>
          </cell>
          <cell r="O695">
            <v>31.82274479441439</v>
          </cell>
          <cell r="P695">
            <v>43.100136480510095</v>
          </cell>
          <cell r="Q695">
            <v>61.399669680416743</v>
          </cell>
          <cell r="R695">
            <v>115.9998694406781</v>
          </cell>
          <cell r="S695">
            <v>124.34529370502528</v>
          </cell>
          <cell r="T695">
            <v>133.48098815089284</v>
          </cell>
          <cell r="U695">
            <v>143.50286468804748</v>
          </cell>
          <cell r="V695">
            <v>154.520279442961</v>
          </cell>
          <cell r="W695">
            <v>166.65803938257815</v>
          </cell>
        </row>
        <row r="696">
          <cell r="C696" t="str">
            <v>Mage</v>
          </cell>
          <cell r="M696">
            <v>11.980597960000001</v>
          </cell>
          <cell r="N696">
            <v>12.348791686805702</v>
          </cell>
          <cell r="O696">
            <v>26.780399106414389</v>
          </cell>
          <cell r="P696">
            <v>29.941823085312894</v>
          </cell>
          <cell r="Q696">
            <v>33.378571345159934</v>
          </cell>
          <cell r="R696">
            <v>37.268837178850013</v>
          </cell>
          <cell r="S696">
            <v>41.677709830105826</v>
          </cell>
          <cell r="T696">
            <v>46.680025082227395</v>
          </cell>
          <cell r="U696">
            <v>52.361853465948741</v>
          </cell>
          <cell r="V696">
            <v>58.822217659757321</v>
          </cell>
          <cell r="W696">
            <v>66.175074510214301</v>
          </cell>
        </row>
        <row r="697">
          <cell r="C697" t="str">
            <v>Pulp &amp; Paper</v>
          </cell>
          <cell r="M697">
            <v>0</v>
          </cell>
          <cell r="N697">
            <v>0</v>
          </cell>
          <cell r="O697">
            <v>5.0423456880000002</v>
          </cell>
          <cell r="P697">
            <v>13.158313395197201</v>
          </cell>
          <cell r="Q697">
            <v>28.021098335256809</v>
          </cell>
          <cell r="R697">
            <v>29.422153252019655</v>
          </cell>
          <cell r="S697">
            <v>30.893260914620633</v>
          </cell>
          <cell r="T697">
            <v>32.437923960351668</v>
          </cell>
          <cell r="U697">
            <v>34.059820158369256</v>
          </cell>
          <cell r="V697">
            <v>35.762811166287719</v>
          </cell>
          <cell r="W697">
            <v>37.550951724602108</v>
          </cell>
        </row>
        <row r="698">
          <cell r="C698" t="str">
            <v>New Projects - UBM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49.308879009808422</v>
          </cell>
          <cell r="S698">
            <v>51.774322960298839</v>
          </cell>
          <cell r="T698">
            <v>54.363039108313785</v>
          </cell>
          <cell r="U698">
            <v>57.081191063729477</v>
          </cell>
          <cell r="V698">
            <v>59.935250616915958</v>
          </cell>
          <cell r="W698">
            <v>62.932013147761758</v>
          </cell>
        </row>
        <row r="700">
          <cell r="M700">
            <v>57.181986609999981</v>
          </cell>
          <cell r="N700">
            <v>44.820152101805704</v>
          </cell>
          <cell r="O700">
            <v>84.158549330669445</v>
          </cell>
          <cell r="P700">
            <v>156.15017068353322</v>
          </cell>
          <cell r="Q700">
            <v>307.95416460436269</v>
          </cell>
          <cell r="R700">
            <v>393.59609194142632</v>
          </cell>
          <cell r="S700">
            <v>449.69454805676298</v>
          </cell>
          <cell r="T700">
            <v>494.23696488934115</v>
          </cell>
          <cell r="U700">
            <v>522.51347191925788</v>
          </cell>
          <cell r="V700">
            <v>552.65490111835607</v>
          </cell>
          <cell r="W700">
            <v>584.84323635566443</v>
          </cell>
        </row>
        <row r="701">
          <cell r="M701" t="b">
            <v>1</v>
          </cell>
          <cell r="N701" t="b">
            <v>1</v>
          </cell>
          <cell r="O701" t="b">
            <v>1</v>
          </cell>
          <cell r="P701" t="b">
            <v>1</v>
          </cell>
          <cell r="Q701" t="b">
            <v>1</v>
          </cell>
          <cell r="R701" t="b">
            <v>0</v>
          </cell>
          <cell r="S701" t="b">
            <v>0</v>
          </cell>
          <cell r="T701" t="b">
            <v>0</v>
          </cell>
          <cell r="U701" t="b">
            <v>0</v>
          </cell>
          <cell r="V701" t="b">
            <v>0</v>
          </cell>
          <cell r="W701" t="b">
            <v>0</v>
          </cell>
        </row>
        <row r="703">
          <cell r="C703" t="str">
            <v>Gross Profit - UTM</v>
          </cell>
          <cell r="M703">
            <v>0</v>
          </cell>
          <cell r="N703">
            <v>0</v>
          </cell>
          <cell r="O703">
            <v>10.027159463889207</v>
          </cell>
          <cell r="P703">
            <v>41.127695941433132</v>
          </cell>
          <cell r="Q703">
            <v>54.303696768394012</v>
          </cell>
          <cell r="R703">
            <v>70.077590012018064</v>
          </cell>
          <cell r="S703">
            <v>76.121365233100988</v>
          </cell>
          <cell r="T703">
            <v>96.723981788741852</v>
          </cell>
          <cell r="U703">
            <v>101.9946293857723</v>
          </cell>
          <cell r="V703">
            <v>107.52880936265436</v>
          </cell>
          <cell r="W703">
            <v>113.33969833838057</v>
          </cell>
        </row>
        <row r="704">
          <cell r="C704" t="str">
            <v>Gross Margin</v>
          </cell>
          <cell r="M704">
            <v>0</v>
          </cell>
          <cell r="N704">
            <v>0</v>
          </cell>
          <cell r="O704">
            <v>0.19159272610289199</v>
          </cell>
          <cell r="P704">
            <v>0.36380082705302991</v>
          </cell>
          <cell r="Q704">
            <v>0.35622700998393758</v>
          </cell>
          <cell r="R704">
            <v>0.38648161523937175</v>
          </cell>
          <cell r="S704">
            <v>0.33999131108003433</v>
          </cell>
          <cell r="T704">
            <v>0.38088684174289933</v>
          </cell>
          <cell r="U704">
            <v>0.38251617834437363</v>
          </cell>
          <cell r="V704">
            <v>0.38406792748863489</v>
          </cell>
          <cell r="W704">
            <v>0.3855457838165029</v>
          </cell>
        </row>
        <row r="705">
          <cell r="C705" t="str">
            <v>UTM Duque de Caxias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-1.1902692970069495</v>
          </cell>
          <cell r="R705">
            <v>6.8768504668141262</v>
          </cell>
          <cell r="S705">
            <v>7.2206929901548307</v>
          </cell>
          <cell r="T705">
            <v>7.5817276396625743</v>
          </cell>
          <cell r="U705">
            <v>7.9608140216457031</v>
          </cell>
          <cell r="V705">
            <v>8.3588547227279903</v>
          </cell>
          <cell r="W705">
            <v>8.7767974588643902</v>
          </cell>
        </row>
        <row r="706">
          <cell r="C706" t="str">
            <v>UTM Nova Iguaçu</v>
          </cell>
          <cell r="M706">
            <v>0</v>
          </cell>
          <cell r="N706">
            <v>0</v>
          </cell>
          <cell r="O706">
            <v>0</v>
          </cell>
          <cell r="P706">
            <v>2.4748785471620813</v>
          </cell>
          <cell r="Q706">
            <v>14.218153857978862</v>
          </cell>
          <cell r="R706">
            <v>14.929061550877812</v>
          </cell>
          <cell r="S706">
            <v>15.675514628421709</v>
          </cell>
          <cell r="T706">
            <v>16.45929035984279</v>
          </cell>
          <cell r="U706">
            <v>17.282254877834923</v>
          </cell>
          <cell r="V706">
            <v>18.146367621726672</v>
          </cell>
          <cell r="W706">
            <v>19.053686002813006</v>
          </cell>
        </row>
        <row r="707">
          <cell r="C707" t="str">
            <v>UTM São Gonçalo</v>
          </cell>
          <cell r="M707">
            <v>0</v>
          </cell>
          <cell r="N707">
            <v>0</v>
          </cell>
          <cell r="O707">
            <v>3.875011306918319</v>
          </cell>
          <cell r="P707">
            <v>13.339964716700894</v>
          </cell>
          <cell r="Q707">
            <v>14.006962952535943</v>
          </cell>
          <cell r="R707">
            <v>14.707311100162741</v>
          </cell>
          <cell r="S707">
            <v>15.632427795413246</v>
          </cell>
          <cell r="T707">
            <v>19.322718966397009</v>
          </cell>
          <cell r="U707">
            <v>20.28885491471685</v>
          </cell>
          <cell r="V707">
            <v>21.303297660452692</v>
          </cell>
          <cell r="W707">
            <v>22.368462543475339</v>
          </cell>
        </row>
        <row r="708">
          <cell r="C708" t="str">
            <v>UTM Recife I, II and III</v>
          </cell>
          <cell r="M708">
            <v>0</v>
          </cell>
          <cell r="N708">
            <v>0</v>
          </cell>
          <cell r="O708">
            <v>6.1521481569708882</v>
          </cell>
          <cell r="P708">
            <v>25.312852677570152</v>
          </cell>
          <cell r="Q708">
            <v>26.57849531144867</v>
          </cell>
          <cell r="R708">
            <v>27.907420077021097</v>
          </cell>
          <cell r="S708">
            <v>27.841382252750016</v>
          </cell>
          <cell r="T708">
            <v>42.686881370566809</v>
          </cell>
          <cell r="U708">
            <v>44.821225439095102</v>
          </cell>
          <cell r="V708">
            <v>47.062286711049865</v>
          </cell>
          <cell r="W708">
            <v>49.415401046602398</v>
          </cell>
        </row>
        <row r="709">
          <cell r="C709" t="str">
            <v>UTM João Pessoa I and II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0.69035394343748635</v>
          </cell>
          <cell r="R709">
            <v>6.5974872664273043</v>
          </cell>
          <cell r="S709">
            <v>7.3618101373420952</v>
          </cell>
          <cell r="T709">
            <v>8.1643491518026305</v>
          </cell>
          <cell r="U709">
            <v>9.0070151169861852</v>
          </cell>
          <cell r="V709">
            <v>9.891814380428924</v>
          </cell>
          <cell r="W709">
            <v>10.820853607043803</v>
          </cell>
        </row>
        <row r="710">
          <cell r="C710" t="str">
            <v>UTM Barra Mansa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-0.94054044928502645</v>
          </cell>
          <cell r="S710">
            <v>2.3895374290190876</v>
          </cell>
          <cell r="T710">
            <v>2.5090143004700414</v>
          </cell>
          <cell r="U710">
            <v>2.6344650154935438</v>
          </cell>
          <cell r="V710">
            <v>2.7661882662682196</v>
          </cell>
          <cell r="W710">
            <v>2.9044976795816346</v>
          </cell>
        </row>
        <row r="712">
          <cell r="C712" t="str">
            <v>Gross Profit - WTE</v>
          </cell>
          <cell r="M712">
            <v>-1.9299777162311997</v>
          </cell>
          <cell r="N712">
            <v>-1.6914271652387995</v>
          </cell>
          <cell r="O712">
            <v>0</v>
          </cell>
          <cell r="P712">
            <v>0</v>
          </cell>
          <cell r="Q712">
            <v>63.18482847709474</v>
          </cell>
          <cell r="R712">
            <v>67.381269605050335</v>
          </cell>
          <cell r="S712">
            <v>71.102502891161322</v>
          </cell>
          <cell r="T712">
            <v>74.92647797890649</v>
          </cell>
          <cell r="U712">
            <v>78.879659277522975</v>
          </cell>
          <cell r="V712">
            <v>82.98914605622241</v>
          </cell>
          <cell r="W712">
            <v>87.275830739114511</v>
          </cell>
        </row>
        <row r="713">
          <cell r="C713" t="str">
            <v>Gross Margin</v>
          </cell>
          <cell r="M713">
            <v>-4.269731027901065E-2</v>
          </cell>
          <cell r="N713">
            <v>-5.2089815259401706E-2</v>
          </cell>
          <cell r="O713">
            <v>0</v>
          </cell>
          <cell r="P713">
            <v>0</v>
          </cell>
          <cell r="Q713">
            <v>0.67137032616396652</v>
          </cell>
          <cell r="R713">
            <v>0.69988844953335383</v>
          </cell>
          <cell r="S713">
            <v>0.70081303152326546</v>
          </cell>
          <cell r="T713">
            <v>0.70148104241461895</v>
          </cell>
          <cell r="U713">
            <v>0.70196831183356967</v>
          </cell>
          <cell r="V713">
            <v>0.70233834433028797</v>
          </cell>
          <cell r="W713">
            <v>0.7026297795319868</v>
          </cell>
        </row>
        <row r="716">
          <cell r="C716" t="str">
            <v>Gross Profit - UBM</v>
          </cell>
          <cell r="M716">
            <v>2.6164983374999959</v>
          </cell>
          <cell r="N716">
            <v>2.9157003633053025</v>
          </cell>
          <cell r="O716">
            <v>6.3977474401881658</v>
          </cell>
          <cell r="P716">
            <v>12.435798549660504</v>
          </cell>
          <cell r="Q716">
            <v>17.588477880276695</v>
          </cell>
          <cell r="R716">
            <v>34.354094990112984</v>
          </cell>
          <cell r="S716">
            <v>36.735222565479063</v>
          </cell>
          <cell r="T716">
            <v>39.328008672059227</v>
          </cell>
          <cell r="U716">
            <v>42.156717053692518</v>
          </cell>
          <cell r="V716">
            <v>45.248900950138065</v>
          </cell>
          <cell r="W716">
            <v>48.635886492393624</v>
          </cell>
        </row>
        <row r="717">
          <cell r="C717" t="str">
            <v>Gross Margin</v>
          </cell>
          <cell r="M717">
            <v>0.21839463658122751</v>
          </cell>
          <cell r="N717">
            <v>0.23611219925433166</v>
          </cell>
          <cell r="O717">
            <v>0.20104323123350173</v>
          </cell>
          <cell r="P717">
            <v>0.28853269537287846</v>
          </cell>
          <cell r="Q717">
            <v>0.28645883555765272</v>
          </cell>
          <cell r="R717">
            <v>0.29615632462139574</v>
          </cell>
          <cell r="S717">
            <v>0.29542913503926566</v>
          </cell>
          <cell r="T717">
            <v>0.2946337843079278</v>
          </cell>
          <cell r="U717">
            <v>0.29376916722418434</v>
          </cell>
          <cell r="V717">
            <v>0.29283470825485441</v>
          </cell>
          <cell r="W717">
            <v>0.29183042517826385</v>
          </cell>
        </row>
        <row r="718">
          <cell r="C718" t="str">
            <v>Mage</v>
          </cell>
          <cell r="M718">
            <v>2.6164983374999959</v>
          </cell>
          <cell r="N718">
            <v>2.9157003633053025</v>
          </cell>
          <cell r="O718">
            <v>5.9566834790258056</v>
          </cell>
          <cell r="P718">
            <v>6.9040704323900144</v>
          </cell>
          <cell r="Q718">
            <v>7.761574146275013</v>
          </cell>
          <cell r="R718">
            <v>8.7323543125116316</v>
          </cell>
          <cell r="S718">
            <v>9.8323948539976413</v>
          </cell>
          <cell r="T718">
            <v>11.080039575003731</v>
          </cell>
          <cell r="U718">
            <v>12.496349501784252</v>
          </cell>
          <cell r="V718">
            <v>14.105515020634378</v>
          </cell>
          <cell r="W718">
            <v>15.93533126641475</v>
          </cell>
        </row>
        <row r="719">
          <cell r="C719" t="str">
            <v>Suzano</v>
          </cell>
          <cell r="M719">
            <v>0</v>
          </cell>
          <cell r="N719">
            <v>0</v>
          </cell>
          <cell r="O719">
            <v>0.44106396116236013</v>
          </cell>
          <cell r="P719">
            <v>5.5317281172704886</v>
          </cell>
          <cell r="Q719">
            <v>9.8269037340016823</v>
          </cell>
          <cell r="R719">
            <v>10.31824892070177</v>
          </cell>
          <cell r="S719">
            <v>10.834161366736858</v>
          </cell>
          <cell r="T719">
            <v>11.3758694350737</v>
          </cell>
          <cell r="U719">
            <v>11.944662906827389</v>
          </cell>
          <cell r="V719">
            <v>12.541896052168756</v>
          </cell>
          <cell r="W719">
            <v>13.168990854777199</v>
          </cell>
        </row>
        <row r="720">
          <cell r="C720" t="str">
            <v>New Projects - UBM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15.303491756899582</v>
          </cell>
          <cell r="S720">
            <v>16.06866634474456</v>
          </cell>
          <cell r="T720">
            <v>16.872099661981792</v>
          </cell>
          <cell r="U720">
            <v>17.715704645080876</v>
          </cell>
          <cell r="V720">
            <v>18.601489877334927</v>
          </cell>
          <cell r="W720">
            <v>19.531564371201675</v>
          </cell>
        </row>
        <row r="724">
          <cell r="C724" t="str">
            <v>Total Gross Profit</v>
          </cell>
          <cell r="M724">
            <v>0.68652062126879621</v>
          </cell>
          <cell r="N724">
            <v>1.2242731980665029</v>
          </cell>
          <cell r="O724">
            <v>16.424906904077375</v>
          </cell>
          <cell r="P724">
            <v>53.563494491093635</v>
          </cell>
          <cell r="Q724">
            <v>135.07700312576543</v>
          </cell>
          <cell r="R724">
            <v>171.81295460718138</v>
          </cell>
          <cell r="S724">
            <v>183.95909068974137</v>
          </cell>
          <cell r="T724">
            <v>210.97846843970757</v>
          </cell>
          <cell r="U724">
            <v>223.03100571698778</v>
          </cell>
          <cell r="V724">
            <v>235.76685636901482</v>
          </cell>
          <cell r="W724">
            <v>249.25141556988871</v>
          </cell>
        </row>
        <row r="725">
          <cell r="M725">
            <v>0.68652062126879621</v>
          </cell>
          <cell r="N725">
            <v>1.2242731980665029</v>
          </cell>
          <cell r="O725">
            <v>16.424906904077375</v>
          </cell>
          <cell r="P725">
            <v>53.563494491093621</v>
          </cell>
          <cell r="Q725">
            <v>135.07700312576546</v>
          </cell>
          <cell r="R725">
            <v>156.50946285028181</v>
          </cell>
          <cell r="S725">
            <v>167.8904243449968</v>
          </cell>
          <cell r="T725">
            <v>194.10636877772578</v>
          </cell>
          <cell r="U725">
            <v>205.3153010719069</v>
          </cell>
          <cell r="V725">
            <v>217.16536649167992</v>
          </cell>
          <cell r="W725">
            <v>229.71985119868705</v>
          </cell>
        </row>
        <row r="726">
          <cell r="M726" t="b">
            <v>1</v>
          </cell>
          <cell r="N726" t="b">
            <v>1</v>
          </cell>
          <cell r="O726" t="b">
            <v>1</v>
          </cell>
          <cell r="P726" t="b">
            <v>1</v>
          </cell>
          <cell r="Q726" t="b">
            <v>1</v>
          </cell>
          <cell r="R726" t="b">
            <v>0</v>
          </cell>
          <cell r="S726" t="b">
            <v>0</v>
          </cell>
          <cell r="T726" t="b">
            <v>0</v>
          </cell>
          <cell r="U726" t="b">
            <v>0</v>
          </cell>
          <cell r="V726" t="b">
            <v>0</v>
          </cell>
          <cell r="W726" t="b">
            <v>0</v>
          </cell>
        </row>
        <row r="727">
          <cell r="A727">
            <v>4</v>
          </cell>
          <cell r="C727" t="str">
            <v>Number of Contracts - Environment</v>
          </cell>
          <cell r="M727">
            <v>54</v>
          </cell>
          <cell r="N727">
            <v>59</v>
          </cell>
          <cell r="O727">
            <v>60</v>
          </cell>
          <cell r="P727">
            <v>61</v>
          </cell>
          <cell r="Q727">
            <v>62</v>
          </cell>
          <cell r="R727">
            <v>65</v>
          </cell>
          <cell r="S727">
            <v>66</v>
          </cell>
          <cell r="T727">
            <v>67</v>
          </cell>
          <cell r="U727">
            <v>70</v>
          </cell>
          <cell r="V727">
            <v>71</v>
          </cell>
          <cell r="W727">
            <v>72</v>
          </cell>
        </row>
        <row r="728">
          <cell r="C728" t="str">
            <v>Additional Contracts</v>
          </cell>
          <cell r="M728">
            <v>0</v>
          </cell>
          <cell r="N728">
            <v>5</v>
          </cell>
          <cell r="O728">
            <v>1</v>
          </cell>
          <cell r="P728">
            <v>1</v>
          </cell>
          <cell r="Q728">
            <v>1</v>
          </cell>
          <cell r="R728">
            <v>3</v>
          </cell>
          <cell r="S728">
            <v>1</v>
          </cell>
          <cell r="T728">
            <v>1</v>
          </cell>
          <cell r="U728">
            <v>3</v>
          </cell>
          <cell r="V728">
            <v>1</v>
          </cell>
          <cell r="W728">
            <v>1</v>
          </cell>
        </row>
        <row r="729">
          <cell r="M729">
            <v>54</v>
          </cell>
          <cell r="N729">
            <v>54</v>
          </cell>
          <cell r="O729">
            <v>59</v>
          </cell>
          <cell r="P729">
            <v>60</v>
          </cell>
          <cell r="Q729">
            <v>61</v>
          </cell>
          <cell r="R729">
            <v>62</v>
          </cell>
          <cell r="S729">
            <v>65</v>
          </cell>
          <cell r="T729">
            <v>66</v>
          </cell>
          <cell r="U729">
            <v>67</v>
          </cell>
          <cell r="V729">
            <v>70</v>
          </cell>
          <cell r="W729">
            <v>71</v>
          </cell>
        </row>
        <row r="765">
          <cell r="C765" t="str">
            <v>Gross Revenue</v>
          </cell>
          <cell r="M765">
            <v>28.199444549999996</v>
          </cell>
          <cell r="N765">
            <v>45.522000000000013</v>
          </cell>
          <cell r="O765">
            <v>50.895121980682795</v>
          </cell>
          <cell r="P765">
            <v>59.827630933217748</v>
          </cell>
          <cell r="Q765">
            <v>69.05710094453076</v>
          </cell>
          <cell r="R765">
            <v>78.800171658718725</v>
          </cell>
          <cell r="S765">
            <v>84.654015012833398</v>
          </cell>
          <cell r="T765">
            <v>90.944418675765249</v>
          </cell>
          <cell r="U765">
            <v>100.57769173256867</v>
          </cell>
          <cell r="V765">
            <v>108.01055041854143</v>
          </cell>
          <cell r="W765">
            <v>115.99614722359621</v>
          </cell>
        </row>
        <row r="766">
          <cell r="C766" t="str">
            <v>Gross Income</v>
          </cell>
          <cell r="M766">
            <v>5.444935890420993</v>
          </cell>
          <cell r="N766">
            <v>8.9780357644923505</v>
          </cell>
          <cell r="O766">
            <v>10.102895945942905</v>
          </cell>
          <cell r="P766">
            <v>11.879134203293276</v>
          </cell>
          <cell r="Q766">
            <v>13.770490220000653</v>
          </cell>
          <cell r="R766">
            <v>15.822969210548415</v>
          </cell>
          <cell r="S766">
            <v>17.07579594761841</v>
          </cell>
          <cell r="T766">
            <v>18.427828468947745</v>
          </cell>
          <cell r="U766">
            <v>20.471828831460329</v>
          </cell>
          <cell r="V766">
            <v>22.083616351065928</v>
          </cell>
          <cell r="W766">
            <v>23.822580487744332</v>
          </cell>
        </row>
        <row r="767">
          <cell r="C767" t="str">
            <v>Gross Margin</v>
          </cell>
          <cell r="M767">
            <v>0.22517391974828124</v>
          </cell>
          <cell r="N767">
            <v>0.22999895772030768</v>
          </cell>
          <cell r="O767">
            <v>0.23149178926977179</v>
          </cell>
          <cell r="P767">
            <v>0.23155216935217865</v>
          </cell>
          <cell r="Q767">
            <v>0.2325449592205141</v>
          </cell>
          <cell r="R767">
            <v>0.23416753846630936</v>
          </cell>
          <cell r="S767">
            <v>0.23523355222935172</v>
          </cell>
          <cell r="T767">
            <v>0.23630014117909234</v>
          </cell>
          <cell r="U767">
            <v>0.23736727750877615</v>
          </cell>
          <cell r="V767">
            <v>0.23843493396023505</v>
          </cell>
          <cell r="W767">
            <v>0.23950308381862401</v>
          </cell>
        </row>
        <row r="800">
          <cell r="A800">
            <v>4</v>
          </cell>
          <cell r="C800" t="str">
            <v>Joint Ventures</v>
          </cell>
        </row>
        <row r="802">
          <cell r="C802" t="str">
            <v>Revenues</v>
          </cell>
          <cell r="M802">
            <v>0</v>
          </cell>
          <cell r="N802">
            <v>21.405159999999995</v>
          </cell>
          <cell r="O802">
            <v>53.727346359165161</v>
          </cell>
          <cell r="P802">
            <v>89.67323261826823</v>
          </cell>
          <cell r="Q802">
            <v>119.20237247303581</v>
          </cell>
          <cell r="R802">
            <v>139.73655436717291</v>
          </cell>
          <cell r="S802">
            <v>159.64751368292548</v>
          </cell>
          <cell r="T802">
            <v>172.32997361976891</v>
          </cell>
          <cell r="U802">
            <v>183.73780959315042</v>
          </cell>
          <cell r="V802">
            <v>195.92795652833524</v>
          </cell>
          <cell r="W802">
            <v>208.95575501081737</v>
          </cell>
        </row>
        <row r="803">
          <cell r="C803" t="str">
            <v>Minas Gerais Ecopark</v>
          </cell>
          <cell r="M803">
            <v>0</v>
          </cell>
          <cell r="N803">
            <v>21.405159999999995</v>
          </cell>
          <cell r="O803">
            <v>30.394846359165161</v>
          </cell>
          <cell r="P803">
            <v>54.953459684658469</v>
          </cell>
          <cell r="Q803">
            <v>79.257720662659821</v>
          </cell>
          <cell r="R803">
            <v>87.002643098467018</v>
          </cell>
          <cell r="S803">
            <v>95.460648743039968</v>
          </cell>
          <cell r="T803">
            <v>101.33527632325537</v>
          </cell>
          <cell r="U803">
            <v>107.75610800934881</v>
          </cell>
          <cell r="V803">
            <v>114.59992024939811</v>
          </cell>
          <cell r="W803">
            <v>121.89557533686434</v>
          </cell>
        </row>
        <row r="804">
          <cell r="C804" t="str">
            <v>Rio Grande do Sul Ecopark</v>
          </cell>
          <cell r="M804">
            <v>0</v>
          </cell>
          <cell r="N804">
            <v>0</v>
          </cell>
          <cell r="O804">
            <v>23.3325</v>
          </cell>
          <cell r="P804">
            <v>34.719772933609761</v>
          </cell>
          <cell r="Q804">
            <v>39.944651810375994</v>
          </cell>
          <cell r="R804">
            <v>52.733911268705889</v>
          </cell>
          <cell r="S804">
            <v>64.18686493988551</v>
          </cell>
          <cell r="T804">
            <v>70.99469729651355</v>
          </cell>
          <cell r="U804">
            <v>75.981701583801623</v>
          </cell>
          <cell r="V804">
            <v>81.328036278937148</v>
          </cell>
          <cell r="W804">
            <v>87.060179673953016</v>
          </cell>
        </row>
        <row r="806">
          <cell r="C806" t="str">
            <v>Revenues</v>
          </cell>
          <cell r="M806">
            <v>5.0859808200000005</v>
          </cell>
          <cell r="N806">
            <v>10.3904</v>
          </cell>
          <cell r="O806">
            <v>28.199085480000001</v>
          </cell>
          <cell r="P806">
            <v>31.566167600309996</v>
          </cell>
          <cell r="Q806">
            <v>33.346944870030384</v>
          </cell>
          <cell r="R806">
            <v>35.230073332734882</v>
          </cell>
          <cell r="S806">
            <v>37.221545833737196</v>
          </cell>
          <cell r="T806">
            <v>39.32771241064917</v>
          </cell>
          <cell r="U806">
            <v>41.555301936910283</v>
          </cell>
          <cell r="V806">
            <v>43.91144509628613</v>
          </cell>
          <cell r="W806">
            <v>46.403698771242119</v>
          </cell>
        </row>
        <row r="807">
          <cell r="C807" t="str">
            <v>Circular Economy I</v>
          </cell>
          <cell r="M807">
            <v>5.0859808200000005</v>
          </cell>
          <cell r="N807">
            <v>10.3904</v>
          </cell>
          <cell r="O807">
            <v>12.06208548</v>
          </cell>
          <cell r="P807">
            <v>12.855167600309999</v>
          </cell>
          <cell r="Q807">
            <v>13.700394870030383</v>
          </cell>
          <cell r="R807">
            <v>14.601195832734879</v>
          </cell>
          <cell r="S807">
            <v>15.561224458737197</v>
          </cell>
          <cell r="T807">
            <v>16.584374966899166</v>
          </cell>
          <cell r="U807">
            <v>17.674797620972782</v>
          </cell>
          <cell r="V807">
            <v>18.836915564551742</v>
          </cell>
          <cell r="W807">
            <v>20.075442762921021</v>
          </cell>
        </row>
        <row r="808">
          <cell r="C808" t="str">
            <v>Circular Economy II</v>
          </cell>
          <cell r="M808">
            <v>0</v>
          </cell>
          <cell r="N808">
            <v>0</v>
          </cell>
          <cell r="O808">
            <v>16.137</v>
          </cell>
          <cell r="P808">
            <v>18.710999999999999</v>
          </cell>
          <cell r="Q808">
            <v>19.646549999999998</v>
          </cell>
          <cell r="R808">
            <v>20.628877500000002</v>
          </cell>
          <cell r="S808">
            <v>21.660321375000002</v>
          </cell>
          <cell r="T808">
            <v>22.743337443750001</v>
          </cell>
          <cell r="U808">
            <v>23.8805043159375</v>
          </cell>
          <cell r="V808">
            <v>25.074529531734385</v>
          </cell>
          <cell r="W808">
            <v>26.328256008321102</v>
          </cell>
        </row>
        <row r="810">
          <cell r="C810" t="str">
            <v>EBITDA</v>
          </cell>
          <cell r="M810">
            <v>0</v>
          </cell>
          <cell r="N810">
            <v>10.859065442986225</v>
          </cell>
          <cell r="O810">
            <v>31.392159986983742</v>
          </cell>
          <cell r="P810">
            <v>51.414212596133915</v>
          </cell>
          <cell r="Q810">
            <v>74.711673611980629</v>
          </cell>
          <cell r="R810">
            <v>87.327272799977379</v>
          </cell>
          <cell r="S810">
            <v>103.81681390630823</v>
          </cell>
          <cell r="T810">
            <v>114.18839741475111</v>
          </cell>
          <cell r="U810">
            <v>123.17811758817184</v>
          </cell>
          <cell r="V810">
            <v>132.78121403518884</v>
          </cell>
          <cell r="W810">
            <v>143.04114922463219</v>
          </cell>
        </row>
        <row r="811">
          <cell r="C811" t="str">
            <v>Minas Gerais Ecopark</v>
          </cell>
          <cell r="M811">
            <v>0</v>
          </cell>
          <cell r="N811">
            <v>10.859065442986225</v>
          </cell>
          <cell r="O811">
            <v>18.750746687960572</v>
          </cell>
          <cell r="P811">
            <v>27.809469998992903</v>
          </cell>
          <cell r="Q811">
            <v>46.724582295352214</v>
          </cell>
          <cell r="R811">
            <v>53.299350187353255</v>
          </cell>
          <cell r="S811">
            <v>60.501904886183233</v>
          </cell>
          <cell r="T811">
            <v>65.115289053797568</v>
          </cell>
          <cell r="U811">
            <v>70.184123655589929</v>
          </cell>
          <cell r="V811">
            <v>75.582984821462816</v>
          </cell>
          <cell r="W811">
            <v>81.334275594355859</v>
          </cell>
        </row>
        <row r="812">
          <cell r="C812" t="str">
            <v>Rio Grande do Sul Ecopark</v>
          </cell>
          <cell r="M812">
            <v>0</v>
          </cell>
          <cell r="N812">
            <v>0</v>
          </cell>
          <cell r="O812">
            <v>12.641413299023169</v>
          </cell>
          <cell r="P812">
            <v>23.604742597141012</v>
          </cell>
          <cell r="Q812">
            <v>27.987091316628419</v>
          </cell>
          <cell r="R812">
            <v>34.027922612624124</v>
          </cell>
          <cell r="S812">
            <v>43.314909020124986</v>
          </cell>
          <cell r="T812">
            <v>49.073108360953547</v>
          </cell>
          <cell r="U812">
            <v>52.993993932581915</v>
          </cell>
          <cell r="V812">
            <v>57.198229213726037</v>
          </cell>
          <cell r="W812">
            <v>61.706873630276334</v>
          </cell>
        </row>
        <row r="814">
          <cell r="C814" t="str">
            <v>EBITDA</v>
          </cell>
          <cell r="M814">
            <v>1.3254959208795762</v>
          </cell>
          <cell r="N814">
            <v>2.7294458564140469</v>
          </cell>
          <cell r="O814">
            <v>7.7954874858140268</v>
          </cell>
          <cell r="P814">
            <v>9.3534961005103572</v>
          </cell>
          <cell r="Q814">
            <v>9.9620370676544248</v>
          </cell>
          <cell r="R814">
            <v>10.61026703331499</v>
          </cell>
          <cell r="S814">
            <v>11.300779420640856</v>
          </cell>
          <cell r="T814">
            <v>12.036337363927661</v>
          </cell>
          <cell r="U814">
            <v>12.819884826804561</v>
          </cell>
          <cell r="V814">
            <v>13.654558449425553</v>
          </cell>
          <cell r="W814">
            <v>14.543700172496798</v>
          </cell>
        </row>
        <row r="815">
          <cell r="C815" t="str">
            <v>Circular Economy I</v>
          </cell>
          <cell r="M815">
            <v>1.3254959208795762</v>
          </cell>
          <cell r="N815">
            <v>2.7294458564140469</v>
          </cell>
          <cell r="O815">
            <v>3.7966002403825208</v>
          </cell>
          <cell r="P815">
            <v>4.1186058678072772</v>
          </cell>
          <cell r="Q815">
            <v>4.4654023233161935</v>
          </cell>
          <cell r="R815">
            <v>4.8388005517598449</v>
          </cell>
          <cell r="S815">
            <v>5.2407396150079517</v>
          </cell>
          <cell r="T815">
            <v>5.6732955680131134</v>
          </cell>
          <cell r="U815">
            <v>6.1386909410942856</v>
          </cell>
          <cell r="V815">
            <v>6.6393048694297594</v>
          </cell>
          <cell r="W815">
            <v>7.1776839135012196</v>
          </cell>
        </row>
        <row r="816">
          <cell r="C816" t="str">
            <v>Circular Economy II</v>
          </cell>
          <cell r="M816">
            <v>0</v>
          </cell>
          <cell r="N816">
            <v>0</v>
          </cell>
          <cell r="O816">
            <v>3.9988872454315061</v>
          </cell>
          <cell r="P816">
            <v>5.23489023270308</v>
          </cell>
          <cell r="Q816">
            <v>5.4966347443382322</v>
          </cell>
          <cell r="R816">
            <v>5.7714664815551462</v>
          </cell>
          <cell r="S816">
            <v>6.0600398056329041</v>
          </cell>
          <cell r="T816">
            <v>6.3630417959145475</v>
          </cell>
          <cell r="U816">
            <v>6.6811938857102753</v>
          </cell>
          <cell r="V816">
            <v>7.0152535799957931</v>
          </cell>
          <cell r="W816">
            <v>7.3660162589955789</v>
          </cell>
        </row>
        <row r="818">
          <cell r="C818" t="str">
            <v>EBITDA Margin</v>
          </cell>
          <cell r="M818" t="e">
            <v>#DIV/0!</v>
          </cell>
          <cell r="N818">
            <v>0.50731064112514124</v>
          </cell>
          <cell r="O818">
            <v>0.58428644097045868</v>
          </cell>
          <cell r="P818">
            <v>0.57335072122357966</v>
          </cell>
          <cell r="Q818">
            <v>0.62676331067891111</v>
          </cell>
          <cell r="R818">
            <v>0.62494222213691863</v>
          </cell>
          <cell r="S818">
            <v>0.65028769638403439</v>
          </cell>
          <cell r="T818">
            <v>0.66261483720004433</v>
          </cell>
          <cell r="U818">
            <v>0.67040157853696225</v>
          </cell>
          <cell r="V818">
            <v>0.67770427655119203</v>
          </cell>
          <cell r="W818">
            <v>0.68455233126853643</v>
          </cell>
        </row>
        <row r="819">
          <cell r="C819" t="str">
            <v>EBITDA Margin Circular</v>
          </cell>
          <cell r="M819">
            <v>0.2606175618412136</v>
          </cell>
          <cell r="N819">
            <v>0.26268919930070517</v>
          </cell>
          <cell r="O819">
            <v>0.27644469148983292</v>
          </cell>
          <cell r="P819">
            <v>0.29631395926626525</v>
          </cell>
          <cell r="Q819">
            <v>0.29873912307353595</v>
          </cell>
          <cell r="R819">
            <v>0.3011707336826972</v>
          </cell>
          <cell r="S819">
            <v>0.30360854627370032</v>
          </cell>
          <cell r="T819">
            <v>0.30605231339792999</v>
          </cell>
          <cell r="U819">
            <v>0.30850178507348719</v>
          </cell>
          <cell r="V819">
            <v>0.31095670888272375</v>
          </cell>
          <cell r="W819">
            <v>0.31341683007195975</v>
          </cell>
        </row>
        <row r="853">
          <cell r="C853" t="str">
            <v>Bridge EBITDA</v>
          </cell>
        </row>
        <row r="855">
          <cell r="F855" t="str">
            <v>Value</v>
          </cell>
          <cell r="G855" t="str">
            <v>Aux</v>
          </cell>
        </row>
        <row r="856">
          <cell r="C856" t="str">
            <v>EBITDA 2020</v>
          </cell>
          <cell r="E856" t="str">
            <v>[R$ mm]</v>
          </cell>
          <cell r="F856">
            <v>145.10791277561418</v>
          </cell>
          <cell r="G856">
            <v>0</v>
          </cell>
        </row>
        <row r="857">
          <cell r="C857" t="str">
            <v>Waste Treatment Growth</v>
          </cell>
          <cell r="E857" t="str">
            <v>[R$ mm]</v>
          </cell>
          <cell r="F857">
            <v>110.64202678343804</v>
          </cell>
          <cell r="G857">
            <v>145.10791277561418</v>
          </cell>
        </row>
        <row r="858">
          <cell r="C858" t="str">
            <v>UTM Projects</v>
          </cell>
          <cell r="E858" t="str">
            <v>[R$ mm]</v>
          </cell>
          <cell r="F858">
            <v>81.299173260348638</v>
          </cell>
          <cell r="G858">
            <v>255.74993955905222</v>
          </cell>
        </row>
        <row r="859">
          <cell r="C859" t="str">
            <v>WtE Projects</v>
          </cell>
          <cell r="E859" t="str">
            <v>[R$ mm]</v>
          </cell>
          <cell r="F859">
            <v>69.311247321281542</v>
          </cell>
          <cell r="G859">
            <v>337.04911281940088</v>
          </cell>
        </row>
        <row r="860">
          <cell r="C860" t="str">
            <v>UBM Projects</v>
          </cell>
          <cell r="E860" t="str">
            <v>[R$ mm]</v>
          </cell>
          <cell r="F860">
            <v>36.379982208830697</v>
          </cell>
          <cell r="G860">
            <v>406.36036014068242</v>
          </cell>
        </row>
        <row r="861">
          <cell r="C861" t="str">
            <v>Energy, Biogas &amp; Carbon Credits</v>
          </cell>
          <cell r="E861" t="str">
            <v>[R$ mm]</v>
          </cell>
          <cell r="F861">
            <v>62.537915506312906</v>
          </cell>
          <cell r="G861">
            <v>442.74034234951313</v>
          </cell>
        </row>
        <row r="862">
          <cell r="C862" t="str">
            <v>New Landfills</v>
          </cell>
          <cell r="E862" t="str">
            <v>[R$ mm]</v>
          </cell>
          <cell r="F862">
            <v>13.069541543204043</v>
          </cell>
          <cell r="G862">
            <v>505.27825785582604</v>
          </cell>
        </row>
        <row r="863">
          <cell r="C863" t="str">
            <v>Environmental Engineering</v>
          </cell>
          <cell r="E863" t="str">
            <v>[R$ mm]</v>
          </cell>
          <cell r="F863">
            <v>10.378033320127422</v>
          </cell>
          <cell r="G863">
            <v>518.34779939903012</v>
          </cell>
        </row>
        <row r="864">
          <cell r="C864" t="str">
            <v>SG&amp;A Increase</v>
          </cell>
          <cell r="E864" t="str">
            <v>[R$ mm]</v>
          </cell>
          <cell r="F864">
            <v>21.318972435738651</v>
          </cell>
          <cell r="G864">
            <v>507.40686028341889</v>
          </cell>
        </row>
        <row r="865">
          <cell r="C865" t="str">
            <v>EBITDA 2025</v>
          </cell>
          <cell r="E865" t="str">
            <v>[R$ mm]</v>
          </cell>
          <cell r="F865">
            <v>507.40686028341878</v>
          </cell>
          <cell r="G865">
            <v>0</v>
          </cell>
        </row>
        <row r="867">
          <cell r="C867" t="str">
            <v>Check</v>
          </cell>
          <cell r="F867">
            <v>0</v>
          </cell>
        </row>
        <row r="870">
          <cell r="C870" t="str">
            <v>Waste Treatment</v>
          </cell>
        </row>
        <row r="871">
          <cell r="C871" t="str">
            <v>Nova Iguaçu</v>
          </cell>
          <cell r="E871" t="str">
            <v>[R$ mm]</v>
          </cell>
          <cell r="F871">
            <v>11.679873254928282</v>
          </cell>
        </row>
        <row r="872">
          <cell r="C872" t="str">
            <v>São Gonçalo</v>
          </cell>
          <cell r="E872" t="str">
            <v>[R$ mm]</v>
          </cell>
          <cell r="F872">
            <v>5.7959613201743849</v>
          </cell>
        </row>
        <row r="873">
          <cell r="C873" t="str">
            <v>Barra Mansa</v>
          </cell>
          <cell r="E873" t="str">
            <v>[R$ mm]</v>
          </cell>
          <cell r="F873">
            <v>1.5708109788985638</v>
          </cell>
        </row>
        <row r="874">
          <cell r="C874" t="str">
            <v>Ecopesa</v>
          </cell>
          <cell r="E874" t="str">
            <v>[R$ mm]</v>
          </cell>
          <cell r="F874">
            <v>40.875090714768163</v>
          </cell>
        </row>
        <row r="875">
          <cell r="C875" t="str">
            <v>João Pessoa</v>
          </cell>
          <cell r="E875" t="str">
            <v>[R$ mm]</v>
          </cell>
          <cell r="F875">
            <v>3.4760403735810055</v>
          </cell>
        </row>
        <row r="876">
          <cell r="C876" t="str">
            <v>Jardim Gramacho</v>
          </cell>
          <cell r="E876" t="str">
            <v>[R$ mm]</v>
          </cell>
          <cell r="F876">
            <v>17.966513953672049</v>
          </cell>
        </row>
        <row r="877">
          <cell r="C877" t="str">
            <v>Incineration</v>
          </cell>
          <cell r="E877" t="str">
            <v>[R$ mm]</v>
          </cell>
          <cell r="F877">
            <v>5.5127192473876008</v>
          </cell>
        </row>
        <row r="878">
          <cell r="C878" t="str">
            <v>Others</v>
          </cell>
          <cell r="E878" t="str">
            <v>[R$ mm]</v>
          </cell>
          <cell r="F878">
            <v>1.2958918248726974</v>
          </cell>
        </row>
        <row r="879">
          <cell r="C879" t="str">
            <v>Rio Grande do Sul</v>
          </cell>
          <cell r="D879">
            <v>0.5</v>
          </cell>
          <cell r="E879" t="str">
            <v>[R$ mm]</v>
          </cell>
          <cell r="F879">
            <v>12.59357870936374</v>
          </cell>
        </row>
        <row r="880">
          <cell r="C880" t="str">
            <v>Minas Gerais</v>
          </cell>
          <cell r="D880">
            <v>0.5</v>
          </cell>
          <cell r="E880" t="str">
            <v>[R$ mm]</v>
          </cell>
          <cell r="F880">
            <v>9.8755464057915621</v>
          </cell>
        </row>
        <row r="882">
          <cell r="C882" t="str">
            <v>Check (Ex-JVs)</v>
          </cell>
          <cell r="F882">
            <v>0</v>
          </cell>
        </row>
        <row r="884">
          <cell r="C884" t="str">
            <v>UBMs</v>
          </cell>
        </row>
        <row r="885">
          <cell r="C885" t="str">
            <v>Magé</v>
          </cell>
          <cell r="E885" t="str">
            <v>[R$ mm]</v>
          </cell>
          <cell r="F885">
            <v>6.1158559750116357</v>
          </cell>
        </row>
        <row r="886">
          <cell r="C886" t="str">
            <v>Pulp &amp; Paper I</v>
          </cell>
          <cell r="E886" t="str">
            <v>[R$ mm]</v>
          </cell>
          <cell r="F886">
            <v>10.31824892070177</v>
          </cell>
        </row>
        <row r="887">
          <cell r="C887" t="str">
            <v>Pulp &amp; Paper II</v>
          </cell>
          <cell r="E887" t="str">
            <v>[R$ mm]</v>
          </cell>
          <cell r="F887">
            <v>6.8755500539784649</v>
          </cell>
        </row>
        <row r="888">
          <cell r="C888" t="str">
            <v>Siderurgy</v>
          </cell>
          <cell r="E888" t="str">
            <v>[R$ mm]</v>
          </cell>
          <cell r="F888">
            <v>8.4279417029211192</v>
          </cell>
        </row>
        <row r="889">
          <cell r="C889" t="str">
            <v>UBM Volta Redonda I</v>
          </cell>
          <cell r="D889">
            <v>0.5</v>
          </cell>
          <cell r="E889" t="str">
            <v>[R$ mm]</v>
          </cell>
          <cell r="F889">
            <v>1.7566523154401341</v>
          </cell>
        </row>
        <row r="890">
          <cell r="C890" t="str">
            <v>UBM Volta Redonda II</v>
          </cell>
          <cell r="D890">
            <v>0.5</v>
          </cell>
          <cell r="E890" t="str">
            <v>[R$ mm]</v>
          </cell>
          <cell r="F890">
            <v>2.8857332407775731</v>
          </cell>
        </row>
        <row r="892">
          <cell r="C892" t="str">
            <v>Check JVs</v>
          </cell>
          <cell r="D892">
            <v>0.5</v>
          </cell>
          <cell r="F892">
            <v>0</v>
          </cell>
        </row>
        <row r="894">
          <cell r="C894" t="str">
            <v>UTMs</v>
          </cell>
        </row>
        <row r="895">
          <cell r="C895" t="str">
            <v xml:space="preserve">Recife </v>
          </cell>
          <cell r="E895" t="str">
            <v>[R$ mm]</v>
          </cell>
          <cell r="F895">
            <v>27.907420077021097</v>
          </cell>
        </row>
        <row r="896">
          <cell r="C896" t="str">
            <v>Duque de Caxias</v>
          </cell>
          <cell r="E896" t="str">
            <v>[R$ mm]</v>
          </cell>
          <cell r="F896">
            <v>6.8768504668141262</v>
          </cell>
        </row>
        <row r="897">
          <cell r="C897" t="str">
            <v>Nova Iguaçu</v>
          </cell>
          <cell r="E897" t="str">
            <v>[R$ mm]</v>
          </cell>
          <cell r="F897">
            <v>14.929061550877812</v>
          </cell>
        </row>
        <row r="898">
          <cell r="C898" t="str">
            <v>São Gonçalo</v>
          </cell>
          <cell r="E898" t="str">
            <v>[R$ mm]</v>
          </cell>
          <cell r="F898">
            <v>14.707311100162741</v>
          </cell>
        </row>
        <row r="899">
          <cell r="C899" t="str">
            <v>Barra Mansa</v>
          </cell>
          <cell r="E899" t="str">
            <v>[R$ mm]</v>
          </cell>
          <cell r="F899">
            <v>-0.94054044928502645</v>
          </cell>
        </row>
        <row r="900">
          <cell r="C900" t="str">
            <v>João Pessoa</v>
          </cell>
          <cell r="E900" t="str">
            <v>[R$ mm]</v>
          </cell>
          <cell r="F900">
            <v>6.5974872664273043</v>
          </cell>
        </row>
        <row r="901">
          <cell r="C901" t="str">
            <v>Rio Grande do Sul</v>
          </cell>
          <cell r="D901">
            <v>0.5</v>
          </cell>
          <cell r="E901" t="str">
            <v>[R$ mm]</v>
          </cell>
          <cell r="F901">
            <v>0.20025204251764661</v>
          </cell>
        </row>
        <row r="902">
          <cell r="C902" t="str">
            <v>Minas Gerais</v>
          </cell>
          <cell r="D902">
            <v>0.5</v>
          </cell>
          <cell r="E902" t="str">
            <v>[R$ mm]</v>
          </cell>
          <cell r="F902">
            <v>11.021331205812947</v>
          </cell>
        </row>
        <row r="904">
          <cell r="C904" t="str">
            <v>Check UTMs (ex- JVs)</v>
          </cell>
          <cell r="F904">
            <v>0</v>
          </cell>
        </row>
        <row r="906">
          <cell r="C906" t="str">
            <v>New Landfills</v>
          </cell>
        </row>
        <row r="907">
          <cell r="C907" t="str">
            <v>New Ecopark I</v>
          </cell>
          <cell r="E907" t="str">
            <v>[R$ mm]</v>
          </cell>
          <cell r="F907">
            <v>13.069541543204043</v>
          </cell>
        </row>
        <row r="908">
          <cell r="C908" t="str">
            <v>New Ecopark II</v>
          </cell>
          <cell r="E908" t="str">
            <v>[R$ mm]</v>
          </cell>
          <cell r="F908">
            <v>0</v>
          </cell>
        </row>
        <row r="909">
          <cell r="C909" t="str">
            <v>New Ecopark III</v>
          </cell>
          <cell r="E909" t="str">
            <v>[R$ mm]</v>
          </cell>
          <cell r="F909">
            <v>0</v>
          </cell>
        </row>
        <row r="911">
          <cell r="C911" t="str">
            <v>Energy, Biogas &amp; Carbon Credits</v>
          </cell>
        </row>
        <row r="912">
          <cell r="C912" t="str">
            <v>Nova Iguaçu</v>
          </cell>
          <cell r="E912" t="str">
            <v>[R$ mm]</v>
          </cell>
          <cell r="F912">
            <v>14.003243633994913</v>
          </cell>
        </row>
        <row r="913">
          <cell r="C913" t="str">
            <v>São Gonçalo</v>
          </cell>
          <cell r="E913" t="str">
            <v>[R$ mm]</v>
          </cell>
          <cell r="F913">
            <v>8.3176349217953529</v>
          </cell>
        </row>
        <row r="914">
          <cell r="C914" t="str">
            <v>Barra Mansa</v>
          </cell>
          <cell r="E914" t="str">
            <v>[R$ mm]</v>
          </cell>
          <cell r="F914">
            <v>1.1229240392850115</v>
          </cell>
        </row>
        <row r="915">
          <cell r="C915" t="str">
            <v>Ecopesa</v>
          </cell>
          <cell r="E915" t="str">
            <v>[R$ mm]</v>
          </cell>
          <cell r="F915">
            <v>25.602946011606125</v>
          </cell>
        </row>
        <row r="916">
          <cell r="C916" t="str">
            <v>João Pessoa</v>
          </cell>
          <cell r="E916" t="str">
            <v>[R$ mm]</v>
          </cell>
          <cell r="F916">
            <v>3.518238863128718</v>
          </cell>
        </row>
        <row r="917">
          <cell r="C917" t="str">
            <v>Rio Grande do Sul</v>
          </cell>
          <cell r="D917">
            <v>0.5</v>
          </cell>
          <cell r="E917" t="str">
            <v>[R$ mm]</v>
          </cell>
          <cell r="F917">
            <v>4.2201305544306749</v>
          </cell>
        </row>
        <row r="918">
          <cell r="C918" t="str">
            <v>Minas Gerais</v>
          </cell>
          <cell r="D918">
            <v>0.5</v>
          </cell>
          <cell r="E918" t="str">
            <v>[R$ mm]</v>
          </cell>
          <cell r="F918">
            <v>5.7527974820721122</v>
          </cell>
        </row>
        <row r="920">
          <cell r="C920" t="str">
            <v>Check (Ex-JVs)</v>
          </cell>
          <cell r="E920" t="str">
            <v>[R$ mm]</v>
          </cell>
          <cell r="F920">
            <v>0</v>
          </cell>
        </row>
        <row r="922">
          <cell r="C922" t="str">
            <v>Check JVs</v>
          </cell>
          <cell r="D922">
            <v>0.5</v>
          </cell>
          <cell r="E922" t="str">
            <v>[R$ mm]</v>
          </cell>
          <cell r="F922">
            <v>0</v>
          </cell>
        </row>
        <row r="923">
          <cell r="C923" t="str">
            <v>Check RS</v>
          </cell>
          <cell r="D923">
            <v>0.5</v>
          </cell>
          <cell r="F923">
            <v>0</v>
          </cell>
        </row>
        <row r="924">
          <cell r="C924" t="str">
            <v>Check MG</v>
          </cell>
          <cell r="D924">
            <v>0.5</v>
          </cell>
          <cell r="F924">
            <v>0</v>
          </cell>
        </row>
        <row r="926">
          <cell r="C926" t="str">
            <v>Ticket médio disposal</v>
          </cell>
        </row>
        <row r="928">
          <cell r="C928" t="str">
            <v>Total Volume</v>
          </cell>
          <cell r="J928">
            <v>0</v>
          </cell>
          <cell r="K928">
            <v>0</v>
          </cell>
          <cell r="L928">
            <v>51.382864999999988</v>
          </cell>
          <cell r="M928">
            <v>397.49903726888903</v>
          </cell>
          <cell r="N928">
            <v>417.04279089683428</v>
          </cell>
          <cell r="O928">
            <v>415.7984327602868</v>
          </cell>
          <cell r="P928">
            <v>422.03540925169108</v>
          </cell>
          <cell r="Q928">
            <v>428.36594039046639</v>
          </cell>
          <cell r="R928">
            <v>434.79142949632336</v>
          </cell>
          <cell r="S928">
            <v>441.31330093876812</v>
          </cell>
          <cell r="T928">
            <v>447.93300045284957</v>
          </cell>
          <cell r="U928">
            <v>454.65199545964231</v>
          </cell>
          <cell r="V928">
            <v>461.47177539153688</v>
          </cell>
          <cell r="W928">
            <v>407.8674607950652</v>
          </cell>
        </row>
        <row r="929">
          <cell r="C929" t="str">
            <v>(+) João Pessoa</v>
          </cell>
          <cell r="J929">
            <v>0</v>
          </cell>
          <cell r="K929">
            <v>0</v>
          </cell>
          <cell r="L929">
            <v>0</v>
          </cell>
          <cell r="M929">
            <v>48.943249499999993</v>
          </cell>
          <cell r="N929">
            <v>49.677398242500004</v>
          </cell>
          <cell r="O929">
            <v>50.4225592161375</v>
          </cell>
          <cell r="P929">
            <v>51.178897604379557</v>
          </cell>
          <cell r="Q929">
            <v>51.946581068445241</v>
          </cell>
          <cell r="R929">
            <v>52.725779784471918</v>
          </cell>
          <cell r="S929">
            <v>53.516666481238993</v>
          </cell>
          <cell r="T929">
            <v>54.319416478457569</v>
          </cell>
          <cell r="U929">
            <v>55.134207725634433</v>
          </cell>
          <cell r="V929">
            <v>55.961220841518937</v>
          </cell>
          <cell r="W929">
            <v>56.80063915414172</v>
          </cell>
        </row>
        <row r="930">
          <cell r="J930">
            <v>0</v>
          </cell>
          <cell r="K930">
            <v>0</v>
          </cell>
          <cell r="L930">
            <v>51.382864999999988</v>
          </cell>
          <cell r="M930">
            <v>446.44228676888901</v>
          </cell>
          <cell r="N930">
            <v>466.72018913933425</v>
          </cell>
          <cell r="O930">
            <v>466.22099197642433</v>
          </cell>
          <cell r="P930">
            <v>473.21430685607061</v>
          </cell>
          <cell r="Q930">
            <v>480.31252145891165</v>
          </cell>
          <cell r="R930">
            <v>487.51720928079527</v>
          </cell>
          <cell r="S930">
            <v>494.82996742000711</v>
          </cell>
          <cell r="T930">
            <v>502.25241693130715</v>
          </cell>
          <cell r="U930">
            <v>509.78620318527675</v>
          </cell>
          <cell r="V930">
            <v>517.43299623305586</v>
          </cell>
          <cell r="W930">
            <v>464.66809994920692</v>
          </cell>
        </row>
        <row r="932">
          <cell r="C932" t="str">
            <v>Total Revenue</v>
          </cell>
          <cell r="J932">
            <v>250.25011788588691</v>
          </cell>
          <cell r="K932">
            <v>240.801812634512</v>
          </cell>
          <cell r="L932">
            <v>275.3966156980718</v>
          </cell>
          <cell r="M932">
            <v>279.7236358505013</v>
          </cell>
          <cell r="N932">
            <v>302.27613196892969</v>
          </cell>
          <cell r="O932">
            <v>329.83920612525674</v>
          </cell>
          <cell r="P932">
            <v>352.5644957840251</v>
          </cell>
          <cell r="Q932">
            <v>383.84839435941996</v>
          </cell>
          <cell r="R932">
            <v>417.32881162926441</v>
          </cell>
          <cell r="S932">
            <v>446.12606081092383</v>
          </cell>
          <cell r="T932">
            <v>502.08996865749691</v>
          </cell>
          <cell r="U932">
            <v>535.10238409672741</v>
          </cell>
          <cell r="V932">
            <v>570.28536585108714</v>
          </cell>
          <cell r="W932">
            <v>607.78162865579588</v>
          </cell>
        </row>
        <row r="934">
          <cell r="C934" t="str">
            <v>Ticket Médio:</v>
          </cell>
          <cell r="J934" t="e">
            <v>#DIV/0!</v>
          </cell>
          <cell r="K934" t="e">
            <v>#DIV/0!</v>
          </cell>
          <cell r="L934">
            <v>5.3596975508872822</v>
          </cell>
          <cell r="M934">
            <v>0.62656169484972335</v>
          </cell>
          <cell r="N934">
            <v>0.64766028769046546</v>
          </cell>
          <cell r="O934">
            <v>0.7074739486246383</v>
          </cell>
          <cell r="P934">
            <v>0.7450419200686984</v>
          </cell>
          <cell r="Q934">
            <v>0.79916383023601079</v>
          </cell>
          <cell r="R934">
            <v>0.85602888202638927</v>
          </cell>
          <cell r="S934">
            <v>0.90157446028780253</v>
          </cell>
          <cell r="T934">
            <v>0.99967656049362041</v>
          </cell>
          <cell r="U934">
            <v>1.0496603885183016</v>
          </cell>
          <cell r="V934">
            <v>1.1021434079442165</v>
          </cell>
          <cell r="W934">
            <v>1.3079908621276837</v>
          </cell>
        </row>
        <row r="936">
          <cell r="C936" t="str">
            <v>Recycling</v>
          </cell>
        </row>
        <row r="938">
          <cell r="C938" t="str">
            <v># of UTMs Modules</v>
          </cell>
          <cell r="E938" t="str">
            <v>[#]</v>
          </cell>
          <cell r="F938" t="str">
            <v>[Monthly Capacity]</v>
          </cell>
          <cell r="G938" t="str">
            <v>[% for New]</v>
          </cell>
          <cell r="M938">
            <v>0</v>
          </cell>
          <cell r="N938">
            <v>0</v>
          </cell>
          <cell r="O938">
            <v>3</v>
          </cell>
          <cell r="P938">
            <v>7</v>
          </cell>
          <cell r="Q938">
            <v>10</v>
          </cell>
          <cell r="R938">
            <v>13</v>
          </cell>
          <cell r="S938">
            <v>16</v>
          </cell>
          <cell r="T938">
            <v>17</v>
          </cell>
          <cell r="U938">
            <v>17</v>
          </cell>
          <cell r="V938">
            <v>17</v>
          </cell>
          <cell r="W938">
            <v>17</v>
          </cell>
        </row>
        <row r="939">
          <cell r="C939" t="str">
            <v>Recife I</v>
          </cell>
          <cell r="E939" t="str">
            <v>[#]</v>
          </cell>
          <cell r="F939">
            <v>13.815</v>
          </cell>
          <cell r="G939">
            <v>0.1</v>
          </cell>
          <cell r="M939">
            <v>0</v>
          </cell>
          <cell r="N939">
            <v>0</v>
          </cell>
          <cell r="O939">
            <v>2</v>
          </cell>
          <cell r="P939">
            <v>3</v>
          </cell>
          <cell r="Q939">
            <v>3</v>
          </cell>
          <cell r="R939">
            <v>3</v>
          </cell>
          <cell r="S939">
            <v>3</v>
          </cell>
          <cell r="T939">
            <v>3</v>
          </cell>
          <cell r="U939">
            <v>3</v>
          </cell>
          <cell r="V939">
            <v>3</v>
          </cell>
          <cell r="W939">
            <v>3</v>
          </cell>
        </row>
        <row r="940">
          <cell r="C940" t="str">
            <v>Recife II</v>
          </cell>
          <cell r="E940" t="str">
            <v>[#]</v>
          </cell>
          <cell r="F940">
            <v>13.815</v>
          </cell>
          <cell r="G940">
            <v>0.1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2</v>
          </cell>
          <cell r="T940">
            <v>3</v>
          </cell>
          <cell r="U940">
            <v>3</v>
          </cell>
          <cell r="V940">
            <v>3</v>
          </cell>
          <cell r="W940">
            <v>3</v>
          </cell>
        </row>
        <row r="941">
          <cell r="C941" t="str">
            <v>Duque de Caxias</v>
          </cell>
          <cell r="E941" t="str">
            <v>[#]</v>
          </cell>
          <cell r="F941">
            <v>13.815</v>
          </cell>
          <cell r="G941">
            <v>0.1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1</v>
          </cell>
          <cell r="R941">
            <v>2</v>
          </cell>
          <cell r="S941">
            <v>2</v>
          </cell>
          <cell r="T941">
            <v>2</v>
          </cell>
          <cell r="U941">
            <v>2</v>
          </cell>
          <cell r="V941">
            <v>2</v>
          </cell>
          <cell r="W941">
            <v>2</v>
          </cell>
        </row>
        <row r="942">
          <cell r="C942" t="str">
            <v>Nova Iguaçu</v>
          </cell>
          <cell r="E942" t="str">
            <v>[#]</v>
          </cell>
          <cell r="F942">
            <v>13.815</v>
          </cell>
          <cell r="G942">
            <v>0.1</v>
          </cell>
          <cell r="M942">
            <v>0</v>
          </cell>
          <cell r="N942">
            <v>0</v>
          </cell>
          <cell r="O942">
            <v>0</v>
          </cell>
          <cell r="P942">
            <v>2</v>
          </cell>
          <cell r="Q942">
            <v>3</v>
          </cell>
          <cell r="R942">
            <v>3</v>
          </cell>
          <cell r="S942">
            <v>3</v>
          </cell>
          <cell r="T942">
            <v>3</v>
          </cell>
          <cell r="U942">
            <v>3</v>
          </cell>
          <cell r="V942">
            <v>3</v>
          </cell>
          <cell r="W942">
            <v>3</v>
          </cell>
        </row>
        <row r="943">
          <cell r="C943" t="str">
            <v>São Gonçalo I</v>
          </cell>
          <cell r="E943" t="str">
            <v>[#]</v>
          </cell>
          <cell r="F943">
            <v>13.815</v>
          </cell>
          <cell r="G943">
            <v>0.1</v>
          </cell>
          <cell r="M943">
            <v>0</v>
          </cell>
          <cell r="N943">
            <v>0</v>
          </cell>
          <cell r="O943">
            <v>1</v>
          </cell>
          <cell r="P943">
            <v>2</v>
          </cell>
          <cell r="Q943">
            <v>2</v>
          </cell>
          <cell r="R943">
            <v>2</v>
          </cell>
          <cell r="S943">
            <v>2</v>
          </cell>
          <cell r="T943">
            <v>2</v>
          </cell>
          <cell r="U943">
            <v>2</v>
          </cell>
          <cell r="V943">
            <v>2</v>
          </cell>
          <cell r="W943">
            <v>2</v>
          </cell>
        </row>
        <row r="944">
          <cell r="C944" t="str">
            <v>São Gonçalo II</v>
          </cell>
          <cell r="E944" t="str">
            <v>[#]</v>
          </cell>
          <cell r="F944">
            <v>13.815</v>
          </cell>
          <cell r="G944">
            <v>0.1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1</v>
          </cell>
          <cell r="T944">
            <v>1</v>
          </cell>
          <cell r="U944">
            <v>1</v>
          </cell>
          <cell r="V944">
            <v>1</v>
          </cell>
          <cell r="W944">
            <v>1</v>
          </cell>
        </row>
        <row r="945">
          <cell r="C945" t="str">
            <v>Barra Mansa</v>
          </cell>
          <cell r="E945" t="str">
            <v>[#]</v>
          </cell>
          <cell r="F945">
            <v>13.815</v>
          </cell>
          <cell r="G945">
            <v>0.1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1</v>
          </cell>
          <cell r="T945">
            <v>1</v>
          </cell>
          <cell r="U945">
            <v>1</v>
          </cell>
          <cell r="V945">
            <v>1</v>
          </cell>
          <cell r="W945">
            <v>1</v>
          </cell>
        </row>
        <row r="946">
          <cell r="C946" t="str">
            <v>João Pessoa</v>
          </cell>
          <cell r="E946" t="str">
            <v>[#]</v>
          </cell>
          <cell r="F946">
            <v>13.815</v>
          </cell>
          <cell r="G946">
            <v>0.1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1</v>
          </cell>
          <cell r="R946">
            <v>2</v>
          </cell>
          <cell r="S946">
            <v>2</v>
          </cell>
          <cell r="T946">
            <v>2</v>
          </cell>
          <cell r="U946">
            <v>2</v>
          </cell>
          <cell r="V946">
            <v>2</v>
          </cell>
          <cell r="W946">
            <v>2</v>
          </cell>
        </row>
        <row r="948">
          <cell r="C948" t="str">
            <v>Volume Sent for Sorting &amp; Recycling</v>
          </cell>
          <cell r="E948" t="str">
            <v>[kTon]</v>
          </cell>
          <cell r="M948">
            <v>0</v>
          </cell>
          <cell r="N948">
            <v>0</v>
          </cell>
          <cell r="O948">
            <v>497.34000000000003</v>
          </cell>
          <cell r="P948">
            <v>1160.46</v>
          </cell>
          <cell r="Q948">
            <v>1657.8</v>
          </cell>
          <cell r="R948">
            <v>2155.1400000000003</v>
          </cell>
          <cell r="S948">
            <v>2652.4800000000005</v>
          </cell>
          <cell r="T948">
            <v>2818.26</v>
          </cell>
          <cell r="U948">
            <v>2818.26</v>
          </cell>
          <cell r="V948">
            <v>2818.26</v>
          </cell>
          <cell r="W948">
            <v>2818.26</v>
          </cell>
        </row>
        <row r="949">
          <cell r="C949" t="str">
            <v>Recife I</v>
          </cell>
          <cell r="E949" t="str">
            <v>[kTon]</v>
          </cell>
          <cell r="M949">
            <v>0</v>
          </cell>
          <cell r="N949">
            <v>0</v>
          </cell>
          <cell r="O949">
            <v>331.56</v>
          </cell>
          <cell r="P949">
            <v>497.34000000000003</v>
          </cell>
          <cell r="Q949">
            <v>497.34000000000003</v>
          </cell>
          <cell r="R949">
            <v>497.34000000000003</v>
          </cell>
          <cell r="S949">
            <v>497.34000000000003</v>
          </cell>
          <cell r="T949">
            <v>497.34000000000003</v>
          </cell>
          <cell r="U949">
            <v>497.34000000000003</v>
          </cell>
          <cell r="V949">
            <v>497.34000000000003</v>
          </cell>
          <cell r="W949">
            <v>497.34000000000003</v>
          </cell>
        </row>
        <row r="950">
          <cell r="C950" t="str">
            <v>Recife II</v>
          </cell>
          <cell r="E950" t="str">
            <v>[kTon]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331.56</v>
          </cell>
          <cell r="T950">
            <v>497.34000000000003</v>
          </cell>
          <cell r="U950">
            <v>497.34000000000003</v>
          </cell>
          <cell r="V950">
            <v>497.34000000000003</v>
          </cell>
          <cell r="W950">
            <v>497.34000000000003</v>
          </cell>
        </row>
        <row r="951">
          <cell r="C951" t="str">
            <v>Duque de Caxias</v>
          </cell>
          <cell r="E951" t="str">
            <v>[kTon]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165.78</v>
          </cell>
          <cell r="R951">
            <v>331.56</v>
          </cell>
          <cell r="S951">
            <v>331.56</v>
          </cell>
          <cell r="T951">
            <v>331.56</v>
          </cell>
          <cell r="U951">
            <v>331.56</v>
          </cell>
          <cell r="V951">
            <v>331.56</v>
          </cell>
          <cell r="W951">
            <v>331.56</v>
          </cell>
        </row>
        <row r="952">
          <cell r="C952" t="str">
            <v>Nova Iguaçu</v>
          </cell>
          <cell r="E952" t="str">
            <v>[kTon]</v>
          </cell>
          <cell r="M952">
            <v>0</v>
          </cell>
          <cell r="N952">
            <v>0</v>
          </cell>
          <cell r="O952">
            <v>0</v>
          </cell>
          <cell r="P952">
            <v>331.56</v>
          </cell>
          <cell r="Q952">
            <v>497.34000000000003</v>
          </cell>
          <cell r="R952">
            <v>497.34000000000003</v>
          </cell>
          <cell r="S952">
            <v>497.34000000000003</v>
          </cell>
          <cell r="T952">
            <v>497.34000000000003</v>
          </cell>
          <cell r="U952">
            <v>497.34000000000003</v>
          </cell>
          <cell r="V952">
            <v>497.34000000000003</v>
          </cell>
          <cell r="W952">
            <v>497.34000000000003</v>
          </cell>
        </row>
        <row r="953">
          <cell r="C953" t="str">
            <v>São Gonçalo I</v>
          </cell>
          <cell r="E953" t="str">
            <v>[kTon]</v>
          </cell>
          <cell r="M953">
            <v>0</v>
          </cell>
          <cell r="N953">
            <v>0</v>
          </cell>
          <cell r="O953">
            <v>165.78</v>
          </cell>
          <cell r="P953">
            <v>331.56</v>
          </cell>
          <cell r="Q953">
            <v>331.56</v>
          </cell>
          <cell r="R953">
            <v>331.56</v>
          </cell>
          <cell r="S953">
            <v>331.56</v>
          </cell>
          <cell r="T953">
            <v>331.56</v>
          </cell>
          <cell r="U953">
            <v>331.56</v>
          </cell>
          <cell r="V953">
            <v>331.56</v>
          </cell>
          <cell r="W953">
            <v>331.56</v>
          </cell>
        </row>
        <row r="954">
          <cell r="C954" t="str">
            <v>São Gonçalo II</v>
          </cell>
          <cell r="E954" t="str">
            <v>[kTon]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165.78</v>
          </cell>
          <cell r="T954">
            <v>165.78</v>
          </cell>
          <cell r="U954">
            <v>165.78</v>
          </cell>
          <cell r="V954">
            <v>165.78</v>
          </cell>
          <cell r="W954">
            <v>165.78</v>
          </cell>
        </row>
        <row r="955">
          <cell r="C955" t="str">
            <v>Barra Mansa</v>
          </cell>
          <cell r="E955" t="str">
            <v>[kTon]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165.78</v>
          </cell>
          <cell r="S955">
            <v>165.78</v>
          </cell>
          <cell r="T955">
            <v>165.78</v>
          </cell>
          <cell r="U955">
            <v>165.78</v>
          </cell>
          <cell r="V955">
            <v>165.78</v>
          </cell>
          <cell r="W955">
            <v>165.78</v>
          </cell>
        </row>
        <row r="956">
          <cell r="C956" t="str">
            <v>João Pessoa</v>
          </cell>
          <cell r="E956" t="str">
            <v>[kTon]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165.78</v>
          </cell>
          <cell r="R956">
            <v>331.56</v>
          </cell>
          <cell r="S956">
            <v>331.56</v>
          </cell>
          <cell r="T956">
            <v>331.56</v>
          </cell>
          <cell r="U956">
            <v>331.56</v>
          </cell>
          <cell r="V956">
            <v>331.56</v>
          </cell>
          <cell r="W956">
            <v>331.56</v>
          </cell>
        </row>
        <row r="958">
          <cell r="C958" t="str">
            <v>Total Waste Treatment</v>
          </cell>
          <cell r="M958">
            <v>5316.8805905866666</v>
          </cell>
          <cell r="N958">
            <v>5933.833799445466</v>
          </cell>
          <cell r="O958">
            <v>6310.1133064371479</v>
          </cell>
          <cell r="P958">
            <v>6500.7875060337046</v>
          </cell>
          <cell r="Q958">
            <v>6602.6267886242094</v>
          </cell>
          <cell r="R958">
            <v>6706.0802098535723</v>
          </cell>
          <cell r="S958">
            <v>6811.1737127893757</v>
          </cell>
          <cell r="T958">
            <v>6917.933664264976</v>
          </cell>
          <cell r="U958">
            <v>7026.386861928384</v>
          </cell>
          <cell r="V958">
            <v>7136.560541410734</v>
          </cell>
          <cell r="W958">
            <v>7248.4823836163869</v>
          </cell>
        </row>
        <row r="959">
          <cell r="C959" t="str">
            <v>Rio Grande do Sul</v>
          </cell>
          <cell r="M959">
            <v>0</v>
          </cell>
          <cell r="N959">
            <v>0</v>
          </cell>
          <cell r="O959">
            <v>274.5</v>
          </cell>
          <cell r="P959">
            <v>372.22199999999998</v>
          </cell>
          <cell r="Q959">
            <v>379.66643999999997</v>
          </cell>
          <cell r="R959">
            <v>387.25976879999996</v>
          </cell>
          <cell r="S959">
            <v>395.00496417599999</v>
          </cell>
          <cell r="T959">
            <v>402.90506345951997</v>
          </cell>
          <cell r="U959">
            <v>410.96316472871035</v>
          </cell>
          <cell r="V959">
            <v>419.18242802328461</v>
          </cell>
          <cell r="W959">
            <v>427.56607658375037</v>
          </cell>
        </row>
        <row r="960">
          <cell r="C960" t="str">
            <v>Minas Gerais</v>
          </cell>
          <cell r="M960">
            <v>0</v>
          </cell>
          <cell r="N960">
            <v>375.2</v>
          </cell>
          <cell r="O960">
            <v>483.59999999999991</v>
          </cell>
          <cell r="P960">
            <v>493.27199999999982</v>
          </cell>
          <cell r="Q960">
            <v>503.13743999999986</v>
          </cell>
          <cell r="R960">
            <v>513.20018879999986</v>
          </cell>
          <cell r="S960">
            <v>523.46419257599985</v>
          </cell>
          <cell r="T960">
            <v>533.93347642751985</v>
          </cell>
          <cell r="U960">
            <v>544.61214595607021</v>
          </cell>
          <cell r="V960">
            <v>555.50438887519158</v>
          </cell>
          <cell r="W960">
            <v>566.61447665269543</v>
          </cell>
        </row>
        <row r="961">
          <cell r="C961" t="str">
            <v>Adjusted waste treatment volume</v>
          </cell>
          <cell r="M961">
            <v>5316.8805905866666</v>
          </cell>
          <cell r="N961">
            <v>5558.6337994454661</v>
          </cell>
          <cell r="O961">
            <v>5552.0133064371475</v>
          </cell>
          <cell r="P961">
            <v>5635.2935060337049</v>
          </cell>
          <cell r="Q961">
            <v>5719.82290862421</v>
          </cell>
          <cell r="R961">
            <v>5805.6202522535732</v>
          </cell>
          <cell r="S961">
            <v>5892.7045560373763</v>
          </cell>
          <cell r="T961">
            <v>5981.0951243779364</v>
          </cell>
          <cell r="U961">
            <v>6070.8115512436034</v>
          </cell>
          <cell r="V961">
            <v>6161.8737245122575</v>
          </cell>
          <cell r="W961">
            <v>6254.3018303799417</v>
          </cell>
        </row>
        <row r="963">
          <cell r="C963" t="str">
            <v>% Sorting</v>
          </cell>
          <cell r="M963">
            <v>0</v>
          </cell>
          <cell r="N963">
            <v>0</v>
          </cell>
          <cell r="O963">
            <v>8.957831556768267E-2</v>
          </cell>
          <cell r="P963">
            <v>0.20592716222455784</v>
          </cell>
          <cell r="Q963">
            <v>0.2898341480993073</v>
          </cell>
          <cell r="R963">
            <v>0.37121615027497495</v>
          </cell>
          <cell r="S963">
            <v>0.45012947361876465</v>
          </cell>
          <cell r="T963">
            <v>0.47119464602949501</v>
          </cell>
          <cell r="U963">
            <v>0.46423117835418243</v>
          </cell>
          <cell r="V963">
            <v>0.45737061906816001</v>
          </cell>
          <cell r="W963">
            <v>0.45061144735779313</v>
          </cell>
        </row>
        <row r="965">
          <cell r="C965" t="str">
            <v>Volume Recycled</v>
          </cell>
          <cell r="M965">
            <v>0</v>
          </cell>
          <cell r="N965">
            <v>0</v>
          </cell>
          <cell r="O965">
            <v>33.052999999999997</v>
          </cell>
          <cell r="P965">
            <v>84.176000000000002</v>
          </cell>
          <cell r="Q965">
            <v>130.45099999999999</v>
          </cell>
          <cell r="R965">
            <v>159.06135196385716</v>
          </cell>
          <cell r="S965">
            <v>193.50355774912515</v>
          </cell>
          <cell r="T965">
            <v>209.37055774912517</v>
          </cell>
          <cell r="U965">
            <v>209.37055774912511</v>
          </cell>
          <cell r="V965">
            <v>209.37055774912514</v>
          </cell>
          <cell r="W965">
            <v>209.37055774912511</v>
          </cell>
        </row>
        <row r="966">
          <cell r="C966" t="str">
            <v>Rio Grande do Sul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5.7290000000000001</v>
          </cell>
          <cell r="S966">
            <v>10.577</v>
          </cell>
          <cell r="T966">
            <v>10.577000000000002</v>
          </cell>
          <cell r="U966">
            <v>10.577000000000002</v>
          </cell>
          <cell r="V966">
            <v>10.577</v>
          </cell>
          <cell r="W966">
            <v>10.577</v>
          </cell>
        </row>
        <row r="967">
          <cell r="C967" t="str">
            <v>Minas Gerais</v>
          </cell>
          <cell r="M967">
            <v>0</v>
          </cell>
          <cell r="N967">
            <v>0</v>
          </cell>
          <cell r="O967">
            <v>0</v>
          </cell>
          <cell r="P967">
            <v>11.458000000000002</v>
          </cell>
          <cell r="Q967">
            <v>21.154</v>
          </cell>
          <cell r="R967">
            <v>21.154</v>
          </cell>
          <cell r="S967">
            <v>21.154</v>
          </cell>
          <cell r="T967">
            <v>21.154</v>
          </cell>
          <cell r="U967">
            <v>21.154</v>
          </cell>
          <cell r="V967">
            <v>21.154</v>
          </cell>
          <cell r="W967">
            <v>21.154</v>
          </cell>
        </row>
        <row r="968">
          <cell r="C968" t="str">
            <v>Adjusted Volume Recycled</v>
          </cell>
          <cell r="M968">
            <v>0</v>
          </cell>
          <cell r="N968">
            <v>0</v>
          </cell>
          <cell r="O968">
            <v>33.052999999999997</v>
          </cell>
          <cell r="P968">
            <v>72.718000000000004</v>
          </cell>
          <cell r="Q968">
            <v>109.297</v>
          </cell>
          <cell r="R968">
            <v>132.17835196385715</v>
          </cell>
          <cell r="S968">
            <v>161.77255774912516</v>
          </cell>
          <cell r="T968">
            <v>177.63955774912517</v>
          </cell>
          <cell r="U968">
            <v>177.63955774912512</v>
          </cell>
          <cell r="V968">
            <v>177.63955774912515</v>
          </cell>
          <cell r="W968">
            <v>177.63955774912512</v>
          </cell>
        </row>
        <row r="970">
          <cell r="C970" t="str">
            <v>Volume CDR</v>
          </cell>
          <cell r="M970">
            <v>0</v>
          </cell>
          <cell r="N970">
            <v>0</v>
          </cell>
          <cell r="O970">
            <v>122.61500000000001</v>
          </cell>
          <cell r="P970">
            <v>252.13900000000001</v>
          </cell>
          <cell r="Q970">
            <v>290.13299999999998</v>
          </cell>
          <cell r="R970">
            <v>290.13300000000004</v>
          </cell>
          <cell r="S970">
            <v>290.13300000000004</v>
          </cell>
          <cell r="T970">
            <v>290.13299999999992</v>
          </cell>
          <cell r="U970">
            <v>290.13299999999992</v>
          </cell>
          <cell r="V970">
            <v>290.13299999999998</v>
          </cell>
          <cell r="W970">
            <v>290.1330000000001</v>
          </cell>
        </row>
        <row r="971">
          <cell r="C971" t="str">
            <v>Rio Grande do Sul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</row>
        <row r="972">
          <cell r="C972" t="str">
            <v>Minas Gerais</v>
          </cell>
          <cell r="M972">
            <v>0</v>
          </cell>
          <cell r="N972">
            <v>0</v>
          </cell>
          <cell r="O972">
            <v>0</v>
          </cell>
          <cell r="P972">
            <v>44.901000000000003</v>
          </cell>
          <cell r="Q972">
            <v>82.894999999999996</v>
          </cell>
          <cell r="R972">
            <v>82.89500000000001</v>
          </cell>
          <cell r="S972">
            <v>82.894999999999996</v>
          </cell>
          <cell r="T972">
            <v>82.89500000000001</v>
          </cell>
          <cell r="U972">
            <v>82.894999999999996</v>
          </cell>
          <cell r="V972">
            <v>82.894999999999982</v>
          </cell>
          <cell r="W972">
            <v>82.894999999999996</v>
          </cell>
        </row>
        <row r="973">
          <cell r="C973" t="str">
            <v>Adjusted Volume Recycled</v>
          </cell>
          <cell r="M973">
            <v>0</v>
          </cell>
          <cell r="N973">
            <v>0</v>
          </cell>
          <cell r="O973">
            <v>122.61500000000001</v>
          </cell>
          <cell r="P973">
            <v>207.238</v>
          </cell>
          <cell r="Q973">
            <v>207.238</v>
          </cell>
          <cell r="R973">
            <v>207.23800000000003</v>
          </cell>
          <cell r="S973">
            <v>207.23800000000006</v>
          </cell>
          <cell r="T973">
            <v>207.23799999999991</v>
          </cell>
          <cell r="U973">
            <v>207.23799999999994</v>
          </cell>
          <cell r="V973">
            <v>207.238</v>
          </cell>
          <cell r="W973">
            <v>207.23800000000011</v>
          </cell>
        </row>
        <row r="975">
          <cell r="C975" t="str">
            <v>Volume Recycled + CDR</v>
          </cell>
          <cell r="M975">
            <v>0</v>
          </cell>
          <cell r="N975">
            <v>0</v>
          </cell>
          <cell r="O975">
            <v>155.66800000000001</v>
          </cell>
          <cell r="P975">
            <v>279.95600000000002</v>
          </cell>
          <cell r="Q975">
            <v>316.53499999999997</v>
          </cell>
          <cell r="R975">
            <v>339.41635196385721</v>
          </cell>
          <cell r="S975">
            <v>369.01055774912521</v>
          </cell>
          <cell r="T975">
            <v>384.87755774912512</v>
          </cell>
          <cell r="U975">
            <v>384.87755774912506</v>
          </cell>
          <cell r="V975">
            <v>384.87755774912512</v>
          </cell>
          <cell r="W975">
            <v>384.87755774912523</v>
          </cell>
        </row>
        <row r="976">
          <cell r="C976" t="str">
            <v>% total sorting</v>
          </cell>
          <cell r="M976">
            <v>0</v>
          </cell>
          <cell r="N976">
            <v>0</v>
          </cell>
          <cell r="O976">
            <v>0.31300116620420637</v>
          </cell>
          <cell r="P976">
            <v>0.24124571290695071</v>
          </cell>
          <cell r="Q976">
            <v>0.19093678368922667</v>
          </cell>
          <cell r="R976">
            <v>0.15749155598423173</v>
          </cell>
          <cell r="S976">
            <v>0.13911907262227241</v>
          </cell>
          <cell r="T976">
            <v>0.13656566737956224</v>
          </cell>
          <cell r="U976">
            <v>0.13656566737956222</v>
          </cell>
          <cell r="V976">
            <v>0.13656566737956224</v>
          </cell>
          <cell r="W976">
            <v>0.13656566737956227</v>
          </cell>
        </row>
        <row r="979">
          <cell r="C979" t="str">
            <v>Joint Venture Volumes</v>
          </cell>
        </row>
        <row r="981">
          <cell r="C981" t="str">
            <v>1. Ecoparks</v>
          </cell>
        </row>
        <row r="983">
          <cell r="C983" t="str">
            <v>Gross Revenue:</v>
          </cell>
          <cell r="M983">
            <v>0</v>
          </cell>
          <cell r="N983">
            <v>21.405159999999995</v>
          </cell>
          <cell r="O983">
            <v>53.727346359165161</v>
          </cell>
          <cell r="P983">
            <v>89.673232618268216</v>
          </cell>
          <cell r="Q983">
            <v>119.20237247303581</v>
          </cell>
          <cell r="R983">
            <v>139.73655436717289</v>
          </cell>
          <cell r="S983">
            <v>159.64751368292548</v>
          </cell>
          <cell r="T983">
            <v>172.32997361976891</v>
          </cell>
          <cell r="U983">
            <v>183.73780959315042</v>
          </cell>
          <cell r="V983">
            <v>195.92795652833524</v>
          </cell>
          <cell r="W983">
            <v>208.95575501081737</v>
          </cell>
        </row>
        <row r="984">
          <cell r="C984" t="str">
            <v>RS</v>
          </cell>
          <cell r="M984">
            <v>0</v>
          </cell>
          <cell r="N984">
            <v>21.405159999999995</v>
          </cell>
          <cell r="O984">
            <v>53.727346359165161</v>
          </cell>
          <cell r="P984">
            <v>89.67323261826823</v>
          </cell>
          <cell r="Q984">
            <v>119.20237247303581</v>
          </cell>
          <cell r="R984">
            <v>139.73655436717291</v>
          </cell>
          <cell r="S984">
            <v>159.64751368292548</v>
          </cell>
          <cell r="T984">
            <v>172.32997361976891</v>
          </cell>
          <cell r="U984">
            <v>183.73780959315042</v>
          </cell>
          <cell r="V984">
            <v>195.92795652833524</v>
          </cell>
          <cell r="W984">
            <v>208.95575501081737</v>
          </cell>
        </row>
        <row r="985">
          <cell r="C985" t="str">
            <v>MG</v>
          </cell>
        </row>
        <row r="987">
          <cell r="C987" t="str">
            <v>Public Waste Treatment</v>
          </cell>
          <cell r="M987">
            <v>0</v>
          </cell>
          <cell r="N987">
            <v>21.405159999999995</v>
          </cell>
          <cell r="O987">
            <v>51.688864763999987</v>
          </cell>
          <cell r="P987">
            <v>63.066964955971017</v>
          </cell>
          <cell r="Q987">
            <v>67.54471946784497</v>
          </cell>
          <cell r="R987">
            <v>72.340394550061959</v>
          </cell>
          <cell r="S987">
            <v>77.476562563116374</v>
          </cell>
          <cell r="T987">
            <v>82.977398505097639</v>
          </cell>
          <cell r="U987">
            <v>88.868793798959572</v>
          </cell>
          <cell r="V987">
            <v>95.178478158685721</v>
          </cell>
          <cell r="W987">
            <v>101.93615010795241</v>
          </cell>
        </row>
        <row r="988">
          <cell r="C988" t="str">
            <v>Biogas</v>
          </cell>
          <cell r="M988">
            <v>0</v>
          </cell>
          <cell r="N988">
            <v>0</v>
          </cell>
          <cell r="O988">
            <v>1.4036744963997374</v>
          </cell>
          <cell r="P988">
            <v>4.4197283404498426</v>
          </cell>
          <cell r="Q988">
            <v>8.180108717522792</v>
          </cell>
          <cell r="R988">
            <v>13.885244512342442</v>
          </cell>
          <cell r="S988">
            <v>18.659492394964403</v>
          </cell>
          <cell r="T988">
            <v>21.679552593798036</v>
          </cell>
          <cell r="U988">
            <v>23.446436130192581</v>
          </cell>
          <cell r="V988">
            <v>25.357320674803276</v>
          </cell>
          <cell r="W988">
            <v>27.423942309799749</v>
          </cell>
        </row>
        <row r="989">
          <cell r="C989" t="str">
            <v>Carbon Credit</v>
          </cell>
          <cell r="M989">
            <v>0</v>
          </cell>
          <cell r="N989">
            <v>0</v>
          </cell>
          <cell r="O989">
            <v>0.63480709876543229</v>
          </cell>
          <cell r="P989">
            <v>1.9145644449266983</v>
          </cell>
          <cell r="Q989">
            <v>4.1801264570829915</v>
          </cell>
          <cell r="R989">
            <v>6.0606115606631299</v>
          </cell>
          <cell r="S989">
            <v>8.1903902442334751</v>
          </cell>
          <cell r="T989">
            <v>9.5859006162314468</v>
          </cell>
          <cell r="U989">
            <v>10.431101664124396</v>
          </cell>
          <cell r="V989">
            <v>11.351105794978677</v>
          </cell>
          <cell r="W989">
            <v>12.352558098204234</v>
          </cell>
        </row>
        <row r="990">
          <cell r="C990" t="str">
            <v>Recycling</v>
          </cell>
          <cell r="M990">
            <v>0</v>
          </cell>
          <cell r="N990">
            <v>0</v>
          </cell>
          <cell r="O990">
            <v>0</v>
          </cell>
          <cell r="P990">
            <v>10.556879422988048</v>
          </cell>
          <cell r="Q990">
            <v>20.464848898549796</v>
          </cell>
          <cell r="R990">
            <v>27.307571125399456</v>
          </cell>
          <cell r="S990">
            <v>33.843743865976734</v>
          </cell>
          <cell r="T990">
            <v>35.535931059275576</v>
          </cell>
          <cell r="U990">
            <v>37.31272761223935</v>
          </cell>
          <cell r="V990">
            <v>39.178363992851317</v>
          </cell>
          <cell r="W990">
            <v>41.137282192493885</v>
          </cell>
        </row>
        <row r="991">
          <cell r="C991" t="str">
            <v>Recycling Credits</v>
          </cell>
          <cell r="M991">
            <v>0</v>
          </cell>
          <cell r="N991">
            <v>0</v>
          </cell>
          <cell r="O991">
            <v>0</v>
          </cell>
          <cell r="P991">
            <v>3.6686884470721286</v>
          </cell>
          <cell r="Q991">
            <v>7.1117218623623231</v>
          </cell>
          <cell r="R991">
            <v>7.8358431955493142</v>
          </cell>
          <cell r="S991">
            <v>8.5550907203200737</v>
          </cell>
          <cell r="T991">
            <v>8.9828452563360823</v>
          </cell>
          <cell r="U991">
            <v>9.4319875191528837</v>
          </cell>
          <cell r="V991">
            <v>9.9035868951105268</v>
          </cell>
          <cell r="W991">
            <v>10.398766239866056</v>
          </cell>
        </row>
        <row r="992">
          <cell r="C992" t="str">
            <v>CDR</v>
          </cell>
          <cell r="M992">
            <v>0</v>
          </cell>
          <cell r="N992">
            <v>0</v>
          </cell>
          <cell r="O992">
            <v>0</v>
          </cell>
          <cell r="P992">
            <v>6.0464070068604867</v>
          </cell>
          <cell r="Q992">
            <v>11.720847069672947</v>
          </cell>
          <cell r="R992">
            <v>12.306889423156596</v>
          </cell>
          <cell r="S992">
            <v>12.922233894314424</v>
          </cell>
          <cell r="T992">
            <v>13.568345589030146</v>
          </cell>
          <cell r="U992">
            <v>14.246762868481651</v>
          </cell>
          <cell r="V992">
            <v>14.959101011905732</v>
          </cell>
          <cell r="W992">
            <v>15.707056062501023</v>
          </cell>
        </row>
        <row r="994">
          <cell r="C994" t="str">
            <v>Total Volume:</v>
          </cell>
        </row>
        <row r="995">
          <cell r="C995" t="str">
            <v>Public Waste Treatment</v>
          </cell>
          <cell r="M995">
            <v>0</v>
          </cell>
          <cell r="N995">
            <v>375.2</v>
          </cell>
          <cell r="O995">
            <v>758.09999999999991</v>
          </cell>
          <cell r="P995">
            <v>865.4939999999998</v>
          </cell>
          <cell r="Q995">
            <v>882.80387999999982</v>
          </cell>
          <cell r="R995">
            <v>900.45995759999983</v>
          </cell>
          <cell r="S995">
            <v>918.46915675199989</v>
          </cell>
          <cell r="T995">
            <v>936.83853988703981</v>
          </cell>
          <cell r="U995">
            <v>955.57531068478056</v>
          </cell>
          <cell r="V995">
            <v>974.6868168984762</v>
          </cell>
          <cell r="W995">
            <v>994.1805532364458</v>
          </cell>
        </row>
        <row r="996">
          <cell r="C996" t="str">
            <v>Biogas</v>
          </cell>
          <cell r="M996">
            <v>0</v>
          </cell>
          <cell r="N996">
            <v>0</v>
          </cell>
          <cell r="O996">
            <v>8.2237654320987694</v>
          </cell>
          <cell r="P996">
            <v>24.95242283950618</v>
          </cell>
          <cell r="Q996">
            <v>44.155228086419768</v>
          </cell>
          <cell r="R996">
            <v>71.74866247839509</v>
          </cell>
          <cell r="S996">
            <v>91.826767972345721</v>
          </cell>
          <cell r="T996">
            <v>101.83434333179264</v>
          </cell>
          <cell r="U996">
            <v>104.88937363174642</v>
          </cell>
          <cell r="V996">
            <v>108.03605484069882</v>
          </cell>
          <cell r="W996">
            <v>111.27713648591978</v>
          </cell>
        </row>
        <row r="997">
          <cell r="C997" t="str">
            <v>Carbon Credit</v>
          </cell>
          <cell r="M997">
            <v>0</v>
          </cell>
          <cell r="N997">
            <v>0</v>
          </cell>
          <cell r="O997">
            <v>56.327160493827186</v>
          </cell>
          <cell r="P997">
            <v>170.14557613168733</v>
          </cell>
          <cell r="Q997">
            <v>357.9140432098767</v>
          </cell>
          <cell r="R997">
            <v>491.45075771604979</v>
          </cell>
          <cell r="S997">
            <v>628.96083818930038</v>
          </cell>
          <cell r="T997">
            <v>696.64153643456814</v>
          </cell>
          <cell r="U997">
            <v>717.54078252760519</v>
          </cell>
          <cell r="V997">
            <v>739.06700600343345</v>
          </cell>
          <cell r="W997">
            <v>761.23901618353648</v>
          </cell>
        </row>
        <row r="998">
          <cell r="C998" t="str">
            <v>Recycling</v>
          </cell>
          <cell r="M998">
            <v>0</v>
          </cell>
          <cell r="N998">
            <v>0</v>
          </cell>
          <cell r="O998">
            <v>0</v>
          </cell>
          <cell r="P998">
            <v>11.458000000000002</v>
          </cell>
          <cell r="Q998">
            <v>21.154</v>
          </cell>
          <cell r="R998">
            <v>26.882999999999999</v>
          </cell>
          <cell r="S998">
            <v>31.731000000000002</v>
          </cell>
          <cell r="T998">
            <v>31.731000000000002</v>
          </cell>
          <cell r="U998">
            <v>31.731000000000002</v>
          </cell>
          <cell r="V998">
            <v>31.731000000000002</v>
          </cell>
          <cell r="W998">
            <v>31.731000000000002</v>
          </cell>
        </row>
        <row r="999">
          <cell r="C999" t="str">
            <v>Recycling Credits</v>
          </cell>
          <cell r="M999">
            <v>0</v>
          </cell>
          <cell r="N999">
            <v>0</v>
          </cell>
          <cell r="O999">
            <v>0</v>
          </cell>
          <cell r="P999">
            <v>56.107557680051002</v>
          </cell>
          <cell r="Q999">
            <v>103.58479158699808</v>
          </cell>
          <cell r="R999">
            <v>109.18807685345577</v>
          </cell>
          <cell r="S999">
            <v>113.92969440831469</v>
          </cell>
          <cell r="T999">
            <v>113.9296944083147</v>
          </cell>
          <cell r="U999">
            <v>113.9296944083147</v>
          </cell>
          <cell r="V999">
            <v>113.92969440831467</v>
          </cell>
          <cell r="W999">
            <v>113.92969440831469</v>
          </cell>
        </row>
        <row r="1000">
          <cell r="C1000" t="str">
            <v>CDR</v>
          </cell>
          <cell r="M1000">
            <v>0</v>
          </cell>
          <cell r="N1000">
            <v>0</v>
          </cell>
          <cell r="O1000">
            <v>0</v>
          </cell>
          <cell r="P1000">
            <v>44.901000000000003</v>
          </cell>
          <cell r="Q1000">
            <v>82.894999999999996</v>
          </cell>
          <cell r="R1000">
            <v>82.89500000000001</v>
          </cell>
          <cell r="S1000">
            <v>82.894999999999996</v>
          </cell>
          <cell r="T1000">
            <v>82.89500000000001</v>
          </cell>
          <cell r="U1000">
            <v>82.894999999999996</v>
          </cell>
          <cell r="V1000">
            <v>82.894999999999982</v>
          </cell>
          <cell r="W1000">
            <v>82.894999999999996</v>
          </cell>
        </row>
        <row r="1002">
          <cell r="C1002" t="str">
            <v>Average Ticket</v>
          </cell>
        </row>
        <row r="1003">
          <cell r="C1003" t="str">
            <v>Public Waste Treatment</v>
          </cell>
          <cell r="M1003">
            <v>0</v>
          </cell>
          <cell r="N1003">
            <v>57.04999999999999</v>
          </cell>
          <cell r="O1003">
            <v>68.18211946181242</v>
          </cell>
          <cell r="P1003">
            <v>72.868171190061432</v>
          </cell>
          <cell r="Q1003">
            <v>76.511579749564518</v>
          </cell>
          <cell r="R1003">
            <v>80.337158737042742</v>
          </cell>
          <cell r="S1003">
            <v>84.35401667389489</v>
          </cell>
          <cell r="T1003">
            <v>88.571717507589639</v>
          </cell>
          <cell r="U1003">
            <v>93.000303382969122</v>
          </cell>
          <cell r="V1003">
            <v>97.650318552117596</v>
          </cell>
          <cell r="W1003">
            <v>102.53283447972349</v>
          </cell>
        </row>
        <row r="1004">
          <cell r="C1004" t="str">
            <v>Biogas</v>
          </cell>
          <cell r="M1004">
            <v>0</v>
          </cell>
          <cell r="N1004">
            <v>0</v>
          </cell>
          <cell r="O1004">
            <v>0.1706851329831168</v>
          </cell>
          <cell r="P1004">
            <v>0.1771262201220902</v>
          </cell>
          <cell r="Q1004">
            <v>0.18525798805778648</v>
          </cell>
          <cell r="R1004">
            <v>0.19352617920262358</v>
          </cell>
          <cell r="S1004">
            <v>0.20320319234783304</v>
          </cell>
          <cell r="T1004">
            <v>0.21289038535027985</v>
          </cell>
          <cell r="U1004">
            <v>0.22353490461779388</v>
          </cell>
          <cell r="V1004">
            <v>0.23471164984868356</v>
          </cell>
          <cell r="W1004">
            <v>0.24644723234111779</v>
          </cell>
        </row>
        <row r="1005">
          <cell r="C1005" t="str">
            <v>Carbon Credit</v>
          </cell>
          <cell r="M1005">
            <v>0</v>
          </cell>
          <cell r="N1005">
            <v>0</v>
          </cell>
          <cell r="O1005">
            <v>11.27</v>
          </cell>
          <cell r="P1005">
            <v>11.25250793147208</v>
          </cell>
          <cell r="Q1005">
            <v>11.679135078340062</v>
          </cell>
          <cell r="R1005">
            <v>12.332083053099753</v>
          </cell>
          <cell r="S1005">
            <v>13.022098908117371</v>
          </cell>
          <cell r="T1005">
            <v>13.760162314312133</v>
          </cell>
          <cell r="U1005">
            <v>14.537294489910185</v>
          </cell>
          <cell r="V1005">
            <v>15.358696441288497</v>
          </cell>
          <cell r="W1005">
            <v>16.226911437269269</v>
          </cell>
        </row>
        <row r="1006">
          <cell r="C1006" t="str">
            <v>Recycling</v>
          </cell>
          <cell r="M1006">
            <v>0</v>
          </cell>
          <cell r="N1006">
            <v>0</v>
          </cell>
          <cell r="O1006">
            <v>0</v>
          </cell>
          <cell r="P1006">
            <v>188.15432108429732</v>
          </cell>
          <cell r="Q1006">
            <v>197.56615411406142</v>
          </cell>
          <cell r="R1006">
            <v>250.09663978283703</v>
          </cell>
          <cell r="S1006">
            <v>297.05814662052484</v>
          </cell>
          <cell r="T1006">
            <v>311.91105395155108</v>
          </cell>
          <cell r="U1006">
            <v>327.50660664912863</v>
          </cell>
          <cell r="V1006">
            <v>343.88193698158511</v>
          </cell>
          <cell r="W1006">
            <v>361.07603383066436</v>
          </cell>
        </row>
        <row r="1007">
          <cell r="C1007" t="str">
            <v>Recycling Credits</v>
          </cell>
          <cell r="M1007">
            <v>0</v>
          </cell>
          <cell r="N1007">
            <v>0</v>
          </cell>
          <cell r="O1007">
            <v>0</v>
          </cell>
          <cell r="P1007">
            <v>81.706163494624349</v>
          </cell>
          <cell r="Q1007">
            <v>85.79192788904426</v>
          </cell>
          <cell r="R1007">
            <v>94.52733211350882</v>
          </cell>
          <cell r="S1007">
            <v>103.20394137547589</v>
          </cell>
          <cell r="T1007">
            <v>108.36413844424973</v>
          </cell>
          <cell r="U1007">
            <v>113.7823453664622</v>
          </cell>
          <cell r="V1007">
            <v>119.47146263478533</v>
          </cell>
          <cell r="W1007">
            <v>125.4450357665246</v>
          </cell>
        </row>
        <row r="1008">
          <cell r="C1008" t="str">
            <v>CDR</v>
          </cell>
          <cell r="M1008">
            <v>0</v>
          </cell>
          <cell r="N1008">
            <v>0</v>
          </cell>
          <cell r="O1008">
            <v>0</v>
          </cell>
          <cell r="P1008">
            <v>134.66085403132416</v>
          </cell>
          <cell r="Q1008">
            <v>141.39389673289037</v>
          </cell>
          <cell r="R1008">
            <v>148.46359156953488</v>
          </cell>
          <cell r="S1008">
            <v>155.88677114801163</v>
          </cell>
          <cell r="T1008">
            <v>163.68110970541218</v>
          </cell>
          <cell r="U1008">
            <v>171.86516519068283</v>
          </cell>
          <cell r="V1008">
            <v>180.45842345021694</v>
          </cell>
          <cell r="W1008">
            <v>189.48134462272785</v>
          </cell>
        </row>
        <row r="1010">
          <cell r="C1010" t="str">
            <v>Rio Grande do Sul</v>
          </cell>
        </row>
        <row r="1011">
          <cell r="C1011" t="str">
            <v>Public Waste Treatment</v>
          </cell>
          <cell r="M1011">
            <v>0</v>
          </cell>
          <cell r="N1011">
            <v>0</v>
          </cell>
          <cell r="O1011">
            <v>274.5</v>
          </cell>
          <cell r="P1011">
            <v>372.22199999999998</v>
          </cell>
          <cell r="Q1011">
            <v>379.66643999999997</v>
          </cell>
          <cell r="R1011">
            <v>387.25976879999996</v>
          </cell>
          <cell r="S1011">
            <v>395.00496417599999</v>
          </cell>
          <cell r="T1011">
            <v>402.90506345951997</v>
          </cell>
          <cell r="U1011">
            <v>410.96316472871035</v>
          </cell>
          <cell r="V1011">
            <v>419.18242802328461</v>
          </cell>
          <cell r="W1011">
            <v>427.56607658375037</v>
          </cell>
        </row>
        <row r="1012">
          <cell r="C1012" t="str">
            <v>Biogas</v>
          </cell>
          <cell r="M1012">
            <v>0</v>
          </cell>
          <cell r="N1012">
            <v>0</v>
          </cell>
          <cell r="O1012">
            <v>0</v>
          </cell>
          <cell r="P1012">
            <v>6.12</v>
          </cell>
          <cell r="Q1012">
            <v>14.399999999999999</v>
          </cell>
          <cell r="R1012">
            <v>30.984000000000002</v>
          </cell>
          <cell r="S1012">
            <v>39.648000000000003</v>
          </cell>
          <cell r="T1012">
            <v>48.612000000000009</v>
          </cell>
          <cell r="U1012">
            <v>50.070360000000008</v>
          </cell>
          <cell r="V1012">
            <v>51.572470800000019</v>
          </cell>
          <cell r="W1012">
            <v>53.119644924000013</v>
          </cell>
        </row>
        <row r="1013">
          <cell r="C1013" t="str">
            <v>Carbon Credit</v>
          </cell>
          <cell r="M1013">
            <v>0</v>
          </cell>
          <cell r="N1013">
            <v>0</v>
          </cell>
          <cell r="O1013">
            <v>0</v>
          </cell>
          <cell r="P1013">
            <v>41.156378600823068</v>
          </cell>
          <cell r="Q1013">
            <v>154.1111111111112</v>
          </cell>
          <cell r="R1013">
            <v>212.24074074074099</v>
          </cell>
          <cell r="S1013">
            <v>271.57201646090516</v>
          </cell>
          <cell r="T1013">
            <v>332.10493827160496</v>
          </cell>
          <cell r="U1013">
            <v>342.06808641975317</v>
          </cell>
          <cell r="V1013">
            <v>352.33012901234576</v>
          </cell>
          <cell r="W1013">
            <v>362.90003288271612</v>
          </cell>
        </row>
        <row r="1014">
          <cell r="C1014" t="str">
            <v>Recycling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5.7290000000000001</v>
          </cell>
          <cell r="S1014">
            <v>10.577</v>
          </cell>
          <cell r="T1014">
            <v>10.577000000000002</v>
          </cell>
          <cell r="U1014">
            <v>10.577000000000002</v>
          </cell>
          <cell r="V1014">
            <v>10.577</v>
          </cell>
          <cell r="W1014">
            <v>10.577</v>
          </cell>
        </row>
        <row r="1015">
          <cell r="C1015" t="str">
            <v>Recycling Credits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5.6032852664576804</v>
          </cell>
          <cell r="S1015">
            <v>10.344902821316614</v>
          </cell>
          <cell r="T1015">
            <v>10.344902821316616</v>
          </cell>
          <cell r="U1015">
            <v>10.344902821316616</v>
          </cell>
          <cell r="V1015">
            <v>10.344902821316614</v>
          </cell>
          <cell r="W1015">
            <v>10.344902821316614</v>
          </cell>
        </row>
        <row r="1016">
          <cell r="C1016" t="str">
            <v>CDR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</row>
        <row r="1018">
          <cell r="C1018" t="str">
            <v>Minas Gerais</v>
          </cell>
        </row>
        <row r="1019">
          <cell r="C1019" t="str">
            <v>Public Waste Treatment</v>
          </cell>
          <cell r="M1019">
            <v>0</v>
          </cell>
          <cell r="N1019">
            <v>375.2</v>
          </cell>
          <cell r="O1019">
            <v>483.59999999999991</v>
          </cell>
          <cell r="P1019">
            <v>493.27199999999982</v>
          </cell>
          <cell r="Q1019">
            <v>503.13743999999986</v>
          </cell>
          <cell r="R1019">
            <v>513.20018879999986</v>
          </cell>
          <cell r="S1019">
            <v>523.46419257599985</v>
          </cell>
          <cell r="T1019">
            <v>533.93347642751985</v>
          </cell>
          <cell r="U1019">
            <v>544.61214595607021</v>
          </cell>
          <cell r="V1019">
            <v>555.50438887519158</v>
          </cell>
          <cell r="W1019">
            <v>566.61447665269543</v>
          </cell>
        </row>
        <row r="1020">
          <cell r="C1020" t="str">
            <v>Biogas</v>
          </cell>
          <cell r="M1020">
            <v>0</v>
          </cell>
          <cell r="N1020">
            <v>0</v>
          </cell>
          <cell r="O1020">
            <v>8.2237654320987694</v>
          </cell>
          <cell r="P1020">
            <v>18.832422839506179</v>
          </cell>
          <cell r="Q1020">
            <v>29.755228086419766</v>
          </cell>
          <cell r="R1020">
            <v>40.764662478395081</v>
          </cell>
          <cell r="S1020">
            <v>52.17876797234571</v>
          </cell>
          <cell r="T1020">
            <v>53.222343331792629</v>
          </cell>
          <cell r="U1020">
            <v>54.819013631746408</v>
          </cell>
          <cell r="V1020">
            <v>56.463584040698805</v>
          </cell>
          <cell r="W1020">
            <v>58.15749156191977</v>
          </cell>
        </row>
        <row r="1021">
          <cell r="C1021" t="str">
            <v>Carbon Credit</v>
          </cell>
          <cell r="M1021">
            <v>0</v>
          </cell>
          <cell r="N1021">
            <v>0</v>
          </cell>
          <cell r="O1021">
            <v>56.327160493827186</v>
          </cell>
          <cell r="P1021">
            <v>128.98919753086426</v>
          </cell>
          <cell r="Q1021">
            <v>203.80293209876552</v>
          </cell>
          <cell r="R1021">
            <v>279.2100169753088</v>
          </cell>
          <cell r="S1021">
            <v>357.38882172839521</v>
          </cell>
          <cell r="T1021">
            <v>364.53659816296317</v>
          </cell>
          <cell r="U1021">
            <v>375.47269610785207</v>
          </cell>
          <cell r="V1021">
            <v>386.73687699108768</v>
          </cell>
          <cell r="W1021">
            <v>398.33898330082036</v>
          </cell>
        </row>
        <row r="1022">
          <cell r="C1022" t="str">
            <v>Recycling</v>
          </cell>
          <cell r="M1022">
            <v>0</v>
          </cell>
          <cell r="N1022">
            <v>0</v>
          </cell>
          <cell r="O1022">
            <v>0</v>
          </cell>
          <cell r="P1022">
            <v>11.458000000000002</v>
          </cell>
          <cell r="Q1022">
            <v>21.154</v>
          </cell>
          <cell r="R1022">
            <v>21.154</v>
          </cell>
          <cell r="S1022">
            <v>21.154</v>
          </cell>
          <cell r="T1022">
            <v>21.154</v>
          </cell>
          <cell r="U1022">
            <v>21.154</v>
          </cell>
          <cell r="V1022">
            <v>21.154</v>
          </cell>
          <cell r="W1022">
            <v>21.154</v>
          </cell>
        </row>
        <row r="1023">
          <cell r="C1023" t="str">
            <v>Recycling Credits</v>
          </cell>
          <cell r="M1023">
            <v>0</v>
          </cell>
          <cell r="N1023">
            <v>0</v>
          </cell>
          <cell r="O1023">
            <v>0</v>
          </cell>
          <cell r="P1023">
            <v>56.107557680051002</v>
          </cell>
          <cell r="Q1023">
            <v>103.58479158699808</v>
          </cell>
          <cell r="R1023">
            <v>103.58479158699809</v>
          </cell>
          <cell r="S1023">
            <v>103.58479158699808</v>
          </cell>
          <cell r="T1023">
            <v>103.58479158699809</v>
          </cell>
          <cell r="U1023">
            <v>103.58479158699808</v>
          </cell>
          <cell r="V1023">
            <v>103.58479158699807</v>
          </cell>
          <cell r="W1023">
            <v>103.58479158699808</v>
          </cell>
        </row>
        <row r="1024">
          <cell r="C1024" t="str">
            <v>CDR</v>
          </cell>
          <cell r="M1024">
            <v>0</v>
          </cell>
          <cell r="N1024">
            <v>0</v>
          </cell>
          <cell r="O1024">
            <v>0</v>
          </cell>
          <cell r="P1024">
            <v>44.901000000000003</v>
          </cell>
          <cell r="Q1024">
            <v>82.894999999999996</v>
          </cell>
          <cell r="R1024">
            <v>82.89500000000001</v>
          </cell>
          <cell r="S1024">
            <v>82.894999999999996</v>
          </cell>
          <cell r="T1024">
            <v>82.89500000000001</v>
          </cell>
          <cell r="U1024">
            <v>82.894999999999996</v>
          </cell>
          <cell r="V1024">
            <v>82.894999999999982</v>
          </cell>
          <cell r="W1024">
            <v>82.894999999999996</v>
          </cell>
        </row>
        <row r="1026">
          <cell r="C1026" t="str">
            <v>2. UBM</v>
          </cell>
        </row>
        <row r="1028">
          <cell r="C1028" t="str">
            <v>Private Waste Processing Volume</v>
          </cell>
          <cell r="M1028">
            <v>21.96763223287185</v>
          </cell>
          <cell r="N1028">
            <v>32.445</v>
          </cell>
          <cell r="O1028">
            <v>84.9</v>
          </cell>
          <cell r="P1028">
            <v>90.539999999999992</v>
          </cell>
          <cell r="Q1028">
            <v>91.088099999999997</v>
          </cell>
          <cell r="R1028">
            <v>91.644421499999993</v>
          </cell>
          <cell r="S1028">
            <v>92.209087822499981</v>
          </cell>
          <cell r="T1028">
            <v>92.782224139837481</v>
          </cell>
          <cell r="U1028">
            <v>93.363957501935033</v>
          </cell>
          <cell r="V1028">
            <v>93.954416864464065</v>
          </cell>
          <cell r="W1028">
            <v>94.553733117431022</v>
          </cell>
        </row>
        <row r="1029">
          <cell r="C1029" t="str">
            <v>Volta Redonda I</v>
          </cell>
          <cell r="M1029">
            <v>21.96763223287185</v>
          </cell>
          <cell r="N1029">
            <v>32.445</v>
          </cell>
          <cell r="O1029">
            <v>36</v>
          </cell>
          <cell r="P1029">
            <v>36.54</v>
          </cell>
          <cell r="Q1029">
            <v>37.088099999999997</v>
          </cell>
          <cell r="R1029">
            <v>37.644421499999993</v>
          </cell>
          <cell r="S1029">
            <v>38.209087822499981</v>
          </cell>
          <cell r="T1029">
            <v>38.782224139837481</v>
          </cell>
          <cell r="U1029">
            <v>39.363957501935033</v>
          </cell>
          <cell r="V1029">
            <v>39.954416864464058</v>
          </cell>
          <cell r="W1029">
            <v>40.553733117431015</v>
          </cell>
        </row>
        <row r="1030">
          <cell r="C1030" t="str">
            <v>Volta Redonda II</v>
          </cell>
          <cell r="M1030">
            <v>0</v>
          </cell>
          <cell r="N1030">
            <v>0</v>
          </cell>
          <cell r="O1030">
            <v>48.900000000000006</v>
          </cell>
          <cell r="P1030">
            <v>54</v>
          </cell>
          <cell r="Q1030">
            <v>54</v>
          </cell>
          <cell r="R1030">
            <v>54</v>
          </cell>
          <cell r="S1030">
            <v>54</v>
          </cell>
          <cell r="T1030">
            <v>54</v>
          </cell>
          <cell r="U1030">
            <v>54</v>
          </cell>
          <cell r="V1030">
            <v>54</v>
          </cell>
          <cell r="W1030">
            <v>54</v>
          </cell>
        </row>
        <row r="1032">
          <cell r="C1032" t="str">
            <v>Gross Revenues</v>
          </cell>
          <cell r="M1032">
            <v>5.0859808200000005</v>
          </cell>
          <cell r="N1032">
            <v>10.3904</v>
          </cell>
          <cell r="O1032">
            <v>28.199085480000001</v>
          </cell>
          <cell r="P1032">
            <v>31.566167600309996</v>
          </cell>
          <cell r="Q1032">
            <v>33.346944870030384</v>
          </cell>
          <cell r="R1032">
            <v>35.230073332734882</v>
          </cell>
          <cell r="S1032">
            <v>37.221545833737196</v>
          </cell>
          <cell r="T1032">
            <v>39.32771241064917</v>
          </cell>
          <cell r="U1032">
            <v>41.555301936910283</v>
          </cell>
          <cell r="V1032">
            <v>43.91144509628613</v>
          </cell>
          <cell r="W1032">
            <v>46.403698771242119</v>
          </cell>
        </row>
        <row r="1034">
          <cell r="C1034" t="str">
            <v>Ticket Médio</v>
          </cell>
          <cell r="M1034">
            <v>231.52157529246406</v>
          </cell>
          <cell r="N1034">
            <v>320.24657112035754</v>
          </cell>
          <cell r="O1034">
            <v>332.14470530035334</v>
          </cell>
          <cell r="P1034">
            <v>348.64333554572562</v>
          </cell>
          <cell r="Q1034">
            <v>366.09551489196048</v>
          </cell>
          <cell r="R1034">
            <v>384.42136200003057</v>
          </cell>
          <cell r="S1034">
            <v>403.66461389779357</v>
          </cell>
          <cell r="T1034">
            <v>423.87119704498667</v>
          </cell>
          <cell r="U1034">
            <v>445.08933692157404</v>
          </cell>
          <cell r="V1034">
            <v>467.36967310043036</v>
          </cell>
          <cell r="W1034">
            <v>490.76538007876474</v>
          </cell>
        </row>
        <row r="1036">
          <cell r="C1036" t="str">
            <v>Bridge CAPEX</v>
          </cell>
          <cell r="M1036">
            <v>25.35238516473192</v>
          </cell>
          <cell r="N1036">
            <v>210.58825773823119</v>
          </cell>
          <cell r="O1036">
            <v>261.27426103606507</v>
          </cell>
          <cell r="P1036">
            <v>177.08551188158592</v>
          </cell>
          <cell r="Q1036">
            <v>62.322189751024062</v>
          </cell>
          <cell r="R1036">
            <v>138.33911667401253</v>
          </cell>
          <cell r="S1036">
            <v>32.059973101428291</v>
          </cell>
          <cell r="T1036">
            <v>24.924895815099479</v>
          </cell>
          <cell r="U1036">
            <v>39.344356491945796</v>
          </cell>
          <cell r="V1036">
            <v>31.483392713820685</v>
          </cell>
          <cell r="W1036">
            <v>37.06390083762016</v>
          </cell>
          <cell r="X1036" t="str">
            <v>Bridge</v>
          </cell>
        </row>
        <row r="1038">
          <cell r="C1038" t="str">
            <v>Nova Iguaçu Plant</v>
          </cell>
          <cell r="M1038">
            <v>2.2621263819999999</v>
          </cell>
          <cell r="N1038">
            <v>4.5944721712692447</v>
          </cell>
          <cell r="O1038">
            <v>2.5708624516800005</v>
          </cell>
          <cell r="P1038">
            <v>4.3575800379930003</v>
          </cell>
          <cell r="Q1038">
            <v>3.9054740699619619</v>
          </cell>
          <cell r="R1038">
            <v>4.1622589900619609</v>
          </cell>
          <cell r="S1038">
            <v>4.4359275186585343</v>
          </cell>
          <cell r="T1038">
            <v>4.7275897530103332</v>
          </cell>
          <cell r="U1038">
            <v>5.0384287792707614</v>
          </cell>
          <cell r="V1038">
            <v>5.3697054715078139</v>
          </cell>
          <cell r="W1038">
            <v>5.7227636062594511</v>
          </cell>
        </row>
        <row r="1039">
          <cell r="C1039" t="str">
            <v>São Gonçalo Plant</v>
          </cell>
          <cell r="M1039">
            <v>13.65637902013192</v>
          </cell>
          <cell r="N1039">
            <v>6.9699727592578382</v>
          </cell>
          <cell r="O1039">
            <v>7.6892544450000013</v>
          </cell>
          <cell r="P1039">
            <v>0.61360250471100009</v>
          </cell>
          <cell r="Q1039">
            <v>2.8876393844934878</v>
          </cell>
          <cell r="R1039">
            <v>3.0775016740239343</v>
          </cell>
          <cell r="S1039">
            <v>3.2798474090910079</v>
          </cell>
          <cell r="T1039">
            <v>3.4954973762387418</v>
          </cell>
          <cell r="U1039">
            <v>3.725326328726438</v>
          </cell>
          <cell r="V1039">
            <v>3.9702665348402015</v>
          </cell>
          <cell r="W1039">
            <v>4.2313115595059445</v>
          </cell>
        </row>
        <row r="1040">
          <cell r="C1040" t="str">
            <v>Barra Mansa Plant</v>
          </cell>
          <cell r="M1040">
            <v>2.2236361100000002</v>
          </cell>
          <cell r="N1040">
            <v>1.6712044489317834</v>
          </cell>
          <cell r="O1040">
            <v>4.57961388876</v>
          </cell>
          <cell r="P1040">
            <v>0.69155563598100012</v>
          </cell>
          <cell r="Q1040">
            <v>0.96470355500803384</v>
          </cell>
          <cell r="R1040">
            <v>1.028132813749812</v>
          </cell>
          <cell r="S1040">
            <v>1.0957325462538621</v>
          </cell>
          <cell r="T1040">
            <v>1.1677769611700533</v>
          </cell>
          <cell r="U1040">
            <v>1.2445582963669841</v>
          </cell>
          <cell r="V1040">
            <v>1.3263880043531135</v>
          </cell>
          <cell r="W1040">
            <v>1.4135980156393306</v>
          </cell>
        </row>
        <row r="1041">
          <cell r="C1041" t="str">
            <v>Ecopesa Plant</v>
          </cell>
          <cell r="M1041">
            <v>1.9832638499999999</v>
          </cell>
          <cell r="N1041">
            <v>3.9386556553410572</v>
          </cell>
          <cell r="O1041">
            <v>3.9676552936200005</v>
          </cell>
          <cell r="P1041">
            <v>1.6481519182800002</v>
          </cell>
          <cell r="Q1041">
            <v>3.0032890034337343</v>
          </cell>
          <cell r="R1041">
            <v>3.200755255409502</v>
          </cell>
          <cell r="S1041">
            <v>3.4112049134526754</v>
          </cell>
          <cell r="T1041">
            <v>3.6354916365121888</v>
          </cell>
          <cell r="U1041">
            <v>3.8745252116128643</v>
          </cell>
          <cell r="V1041">
            <v>4.1292752442764113</v>
          </cell>
          <cell r="W1041">
            <v>4.400775091587585</v>
          </cell>
        </row>
        <row r="1042">
          <cell r="C1042" t="str">
            <v>Incinerator - Belford Roxo</v>
          </cell>
          <cell r="M1042">
            <v>1.67967321</v>
          </cell>
          <cell r="N1042">
            <v>0.19999999999999998</v>
          </cell>
          <cell r="O1042">
            <v>1.8537466733370005</v>
          </cell>
          <cell r="P1042">
            <v>0.22272323220000004</v>
          </cell>
          <cell r="Q1042">
            <v>2.0508831027442755</v>
          </cell>
          <cell r="R1042">
            <v>0.24555236350050003</v>
          </cell>
          <cell r="S1042">
            <v>2.4928612294050594</v>
          </cell>
          <cell r="T1042">
            <v>0.2707214807593013</v>
          </cell>
          <cell r="U1042">
            <v>3.0300884047245331</v>
          </cell>
          <cell r="V1042">
            <v>0.29847043253712974</v>
          </cell>
          <cell r="W1042">
            <v>3.683091393995201</v>
          </cell>
        </row>
        <row r="1043">
          <cell r="C1043" t="str">
            <v>Jardim Gramacho Plant</v>
          </cell>
          <cell r="M1043">
            <v>1.72353253</v>
          </cell>
          <cell r="N1043">
            <v>0.50905439375239803</v>
          </cell>
          <cell r="O1043">
            <v>0.22197181777746264</v>
          </cell>
          <cell r="P1043">
            <v>0.24051414684071648</v>
          </cell>
          <cell r="Q1043">
            <v>0.3298498496648769</v>
          </cell>
          <cell r="R1043">
            <v>0.35153747728034257</v>
          </cell>
          <cell r="S1043">
            <v>0.37465106641152507</v>
          </cell>
          <cell r="T1043">
            <v>0.39928437402808264</v>
          </cell>
          <cell r="U1043">
            <v>0.42553732162042918</v>
          </cell>
          <cell r="V1043">
            <v>0.45351640051697234</v>
          </cell>
          <cell r="W1043">
            <v>0.48333510385096329</v>
          </cell>
        </row>
        <row r="1044">
          <cell r="C1044" t="str">
            <v>João Pessoa Ecopark</v>
          </cell>
          <cell r="M1044">
            <v>0.80377406260000006</v>
          </cell>
          <cell r="N1044">
            <v>0.50250000000000006</v>
          </cell>
          <cell r="O1044">
            <v>0.5282786986164425</v>
          </cell>
          <cell r="P1044">
            <v>0.56301302305047363</v>
          </cell>
          <cell r="Q1044">
            <v>0.60003112931604208</v>
          </cell>
          <cell r="R1044">
            <v>0.63948317606857186</v>
          </cell>
          <cell r="S1044">
            <v>0.68152919489508057</v>
          </cell>
          <cell r="T1044">
            <v>0.72633973945943198</v>
          </cell>
          <cell r="U1044">
            <v>0.7740965773288897</v>
          </cell>
          <cell r="V1044">
            <v>0.82499342728826408</v>
          </cell>
          <cell r="W1044">
            <v>0.87923674513246741</v>
          </cell>
        </row>
        <row r="1045">
          <cell r="C1045" t="str">
            <v>Ecoparks</v>
          </cell>
          <cell r="M1045">
            <v>24.332385164731921</v>
          </cell>
          <cell r="N1045">
            <v>18.385859428552322</v>
          </cell>
          <cell r="O1045">
            <v>21.411383268790907</v>
          </cell>
          <cell r="P1045">
            <v>8.3371404990561917</v>
          </cell>
          <cell r="Q1045">
            <v>13.741870094622412</v>
          </cell>
          <cell r="R1045">
            <v>12.705221750094625</v>
          </cell>
          <cell r="S1045">
            <v>15.771753878167745</v>
          </cell>
          <cell r="T1045">
            <v>14.422701321178133</v>
          </cell>
          <cell r="U1045">
            <v>18.1125609196509</v>
          </cell>
          <cell r="V1045">
            <v>16.372615515319907</v>
          </cell>
          <cell r="W1045">
            <v>20.814111515970939</v>
          </cell>
          <cell r="X1045">
            <v>184.40760335613598</v>
          </cell>
        </row>
        <row r="1047">
          <cell r="C1047" t="str">
            <v>New Ecoparks</v>
          </cell>
          <cell r="M1047">
            <v>0</v>
          </cell>
          <cell r="N1047">
            <v>0.51390000000000002</v>
          </cell>
          <cell r="O1047">
            <v>0.53029341000000008</v>
          </cell>
          <cell r="P1047">
            <v>9.465737368500001</v>
          </cell>
          <cell r="Q1047">
            <v>9.3543757524000011</v>
          </cell>
          <cell r="R1047">
            <v>13.505379992527503</v>
          </cell>
          <cell r="S1047">
            <v>13.600531533383947</v>
          </cell>
          <cell r="T1047">
            <v>7.5815550686642332</v>
          </cell>
          <cell r="U1047">
            <v>18.054647018703854</v>
          </cell>
          <cell r="V1047">
            <v>11.650913319200738</v>
          </cell>
          <cell r="W1047">
            <v>12.478128164863993</v>
          </cell>
          <cell r="X1047">
            <v>96.735461628244266</v>
          </cell>
        </row>
        <row r="1049">
          <cell r="C1049" t="str">
            <v>Environmental Engineering</v>
          </cell>
          <cell r="M1049">
            <v>0</v>
          </cell>
          <cell r="N1049">
            <v>2.3849999999999998</v>
          </cell>
          <cell r="O1049">
            <v>0.90100000000000013</v>
          </cell>
          <cell r="P1049">
            <v>1.0600000000000003</v>
          </cell>
          <cell r="Q1049">
            <v>7.4850000000000003</v>
          </cell>
          <cell r="R1049">
            <v>1.1762241540411398</v>
          </cell>
          <cell r="S1049">
            <v>1.3230300713565997</v>
          </cell>
          <cell r="T1049">
            <v>1.4877489258111101</v>
          </cell>
          <cell r="U1049">
            <v>1.6726135291727402</v>
          </cell>
          <cell r="V1049">
            <v>1.8801021036608196</v>
          </cell>
          <cell r="W1049">
            <v>2.1129112923640503</v>
          </cell>
          <cell r="X1049">
            <v>21.48363007640646</v>
          </cell>
        </row>
        <row r="1051">
          <cell r="C1051" t="str">
            <v>UTMs</v>
          </cell>
          <cell r="M1051">
            <v>0</v>
          </cell>
          <cell r="N1051">
            <v>112.78254960000001</v>
          </cell>
          <cell r="O1051">
            <v>51.862695498000008</v>
          </cell>
          <cell r="P1051">
            <v>61.343490547876961</v>
          </cell>
          <cell r="Q1051">
            <v>23.666570653572002</v>
          </cell>
          <cell r="R1051">
            <v>81.891713227416759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331.54701952686577</v>
          </cell>
        </row>
        <row r="1053">
          <cell r="C1053" t="str">
            <v>WtE</v>
          </cell>
          <cell r="M1053">
            <v>0</v>
          </cell>
          <cell r="N1053">
            <v>66.632948709678857</v>
          </cell>
          <cell r="O1053">
            <v>185.4461816592742</v>
          </cell>
          <cell r="P1053">
            <v>95.700300906152762</v>
          </cell>
          <cell r="Q1053">
            <v>6.8365885624296512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354.61601983753548</v>
          </cell>
        </row>
        <row r="1055">
          <cell r="C1055" t="str">
            <v>Magé Plant</v>
          </cell>
          <cell r="M1055">
            <v>0.42182202999999996</v>
          </cell>
          <cell r="N1055">
            <v>5.5029341000000009</v>
          </cell>
          <cell r="O1055">
            <v>0.21848088492000001</v>
          </cell>
          <cell r="P1055">
            <v>0.23608662613200002</v>
          </cell>
          <cell r="Q1055">
            <v>0.23385939381000004</v>
          </cell>
          <cell r="R1055">
            <v>0.24555236350050003</v>
          </cell>
          <cell r="S1055">
            <v>0.25782998167552507</v>
          </cell>
          <cell r="T1055">
            <v>0.2707214807593013</v>
          </cell>
          <cell r="U1055">
            <v>0.28425755479726639</v>
          </cell>
          <cell r="V1055">
            <v>0.29847043253712974</v>
          </cell>
          <cell r="W1055">
            <v>0.31339395416398624</v>
          </cell>
        </row>
        <row r="1056">
          <cell r="C1056" t="str">
            <v>UBM - Pulp &amp; Paper I</v>
          </cell>
          <cell r="M1056">
            <v>0</v>
          </cell>
          <cell r="N1056">
            <v>8.8000000000000007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</row>
        <row r="1057">
          <cell r="C1057" t="str">
            <v>Capex - UBM (Siderurgy + P&amp;P II)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27.760903627532503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</row>
        <row r="1058">
          <cell r="C1058" t="str">
            <v>UBMs</v>
          </cell>
          <cell r="M1058">
            <v>0</v>
          </cell>
          <cell r="N1058">
            <v>8.8000000000000007</v>
          </cell>
          <cell r="O1058">
            <v>0</v>
          </cell>
          <cell r="P1058">
            <v>0</v>
          </cell>
          <cell r="Q1058">
            <v>0</v>
          </cell>
          <cell r="R1058">
            <v>27.760903627532503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36.560903627532504</v>
          </cell>
        </row>
        <row r="1060">
          <cell r="C1060" t="str">
            <v>Other Maintenance CAPEX</v>
          </cell>
          <cell r="M1060">
            <v>1.0199999999999998</v>
          </cell>
          <cell r="N1060">
            <v>1.0879999999999999</v>
          </cell>
          <cell r="O1060">
            <v>1.1227071999999998</v>
          </cell>
          <cell r="P1060">
            <v>1.1788425599999999</v>
          </cell>
          <cell r="Q1060">
            <v>1.2377846879999999</v>
          </cell>
          <cell r="R1060">
            <v>1.2996739223999998</v>
          </cell>
          <cell r="S1060">
            <v>1.3646576185199999</v>
          </cell>
          <cell r="T1060">
            <v>1.4328904994459999</v>
          </cell>
          <cell r="U1060">
            <v>1.5045350244183</v>
          </cell>
          <cell r="V1060">
            <v>1.579761775639215</v>
          </cell>
          <cell r="W1060">
            <v>1.6587498644211758</v>
          </cell>
          <cell r="X1060">
            <v>14.487603152844688</v>
          </cell>
        </row>
        <row r="1063">
          <cell r="R1063" t="str">
            <v>Aux 1</v>
          </cell>
          <cell r="S1063" t="str">
            <v>Aux 2</v>
          </cell>
          <cell r="X1063" t="str">
            <v>Aux 1</v>
          </cell>
          <cell r="Y1063" t="str">
            <v>Aux 2</v>
          </cell>
        </row>
        <row r="1064">
          <cell r="O1064" t="str">
            <v>Ecoparks</v>
          </cell>
          <cell r="R1064">
            <v>184.40760335613598</v>
          </cell>
          <cell r="S1064">
            <v>0</v>
          </cell>
          <cell r="U1064" t="str">
            <v>WtE</v>
          </cell>
          <cell r="X1064">
            <v>354.61601983753548</v>
          </cell>
          <cell r="Y1064">
            <v>0</v>
          </cell>
        </row>
        <row r="1065">
          <cell r="O1065" t="str">
            <v>New Ecoparks</v>
          </cell>
          <cell r="R1065">
            <v>96.735461628244266</v>
          </cell>
          <cell r="S1065">
            <v>184.40760335613598</v>
          </cell>
          <cell r="U1065" t="str">
            <v>UTMs</v>
          </cell>
          <cell r="X1065">
            <v>331.54701952686577</v>
          </cell>
          <cell r="Y1065">
            <v>354.61601983753548</v>
          </cell>
        </row>
        <row r="1066">
          <cell r="O1066" t="str">
            <v>Environmental Engineering</v>
          </cell>
          <cell r="R1066">
            <v>21.48363007640646</v>
          </cell>
          <cell r="S1066">
            <v>281.14306498438026</v>
          </cell>
          <cell r="U1066" t="str">
            <v>Ecoparks</v>
          </cell>
          <cell r="X1066">
            <v>184.40760335613598</v>
          </cell>
          <cell r="Y1066">
            <v>686.16303936440124</v>
          </cell>
        </row>
        <row r="1067">
          <cell r="O1067" t="str">
            <v>UTMs</v>
          </cell>
          <cell r="R1067">
            <v>331.54701952686577</v>
          </cell>
          <cell r="S1067">
            <v>302.62669506078674</v>
          </cell>
          <cell r="U1067" t="str">
            <v>New Ecoparks</v>
          </cell>
          <cell r="X1067">
            <v>96.735461628244266</v>
          </cell>
          <cell r="Y1067">
            <v>870.57064272053719</v>
          </cell>
        </row>
        <row r="1068">
          <cell r="O1068" t="str">
            <v>WtE</v>
          </cell>
          <cell r="R1068">
            <v>354.61601983753548</v>
          </cell>
          <cell r="S1068">
            <v>634.17371458765251</v>
          </cell>
          <cell r="U1068" t="str">
            <v>UBMs</v>
          </cell>
          <cell r="X1068">
            <v>36.560903627532504</v>
          </cell>
          <cell r="Y1068">
            <v>967.30610434878145</v>
          </cell>
        </row>
        <row r="1069">
          <cell r="O1069" t="str">
            <v>UBMs</v>
          </cell>
          <cell r="R1069">
            <v>36.560903627532504</v>
          </cell>
          <cell r="S1069">
            <v>988.78973442518804</v>
          </cell>
          <cell r="U1069" t="str">
            <v>Environmental Engineering</v>
          </cell>
          <cell r="X1069">
            <v>21.48363007640646</v>
          </cell>
          <cell r="Y1069">
            <v>1003.867007976314</v>
          </cell>
        </row>
        <row r="1070">
          <cell r="O1070" t="str">
            <v>Other Maintenance CAPEX</v>
          </cell>
          <cell r="R1070">
            <v>14.487603152844688</v>
          </cell>
          <cell r="S1070">
            <v>1025.3506380527206</v>
          </cell>
          <cell r="U1070" t="str">
            <v>Other Maintenance CAPEX</v>
          </cell>
          <cell r="X1070">
            <v>14.487603152844688</v>
          </cell>
          <cell r="Y1070">
            <v>1025.3506380527203</v>
          </cell>
        </row>
        <row r="1071">
          <cell r="O1071" t="str">
            <v>Total CAPEX</v>
          </cell>
          <cell r="R1071">
            <v>1039.8382412055653</v>
          </cell>
          <cell r="S1071">
            <v>0</v>
          </cell>
          <cell r="U1071" t="str">
            <v>Total Capex 2020-2030</v>
          </cell>
          <cell r="X1071">
            <v>1039.8382412055651</v>
          </cell>
          <cell r="Y1071">
            <v>0</v>
          </cell>
        </row>
        <row r="1083">
          <cell r="C1083" t="str">
            <v>Cálculo Alíquota Ecoparks</v>
          </cell>
        </row>
        <row r="1085">
          <cell r="C1085" t="str">
            <v>Gross Revenues: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26.280438145531814</v>
          </cell>
          <cell r="S1085">
            <v>38.780469140902945</v>
          </cell>
          <cell r="T1085">
            <v>73.768453489509753</v>
          </cell>
          <cell r="U1085">
            <v>85.098102841358241</v>
          </cell>
          <cell r="V1085">
            <v>130.11779111013919</v>
          </cell>
          <cell r="W1085">
            <v>158.65220176569508</v>
          </cell>
        </row>
        <row r="1086">
          <cell r="C1086" t="str">
            <v xml:space="preserve"> Check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26.280438145531814</v>
          </cell>
          <cell r="S1086">
            <v>38.780469140902945</v>
          </cell>
          <cell r="T1086">
            <v>73.768453489509767</v>
          </cell>
          <cell r="U1086">
            <v>85.098102841358255</v>
          </cell>
          <cell r="V1086">
            <v>130.11779111013919</v>
          </cell>
          <cell r="W1086">
            <v>158.65220176569508</v>
          </cell>
        </row>
        <row r="1087">
          <cell r="M1087" t="b">
            <v>1</v>
          </cell>
          <cell r="N1087" t="b">
            <v>1</v>
          </cell>
          <cell r="O1087" t="b">
            <v>1</v>
          </cell>
          <cell r="P1087" t="b">
            <v>1</v>
          </cell>
          <cell r="Q1087" t="b">
            <v>1</v>
          </cell>
          <cell r="R1087" t="b">
            <v>1</v>
          </cell>
          <cell r="S1087" t="b">
            <v>1</v>
          </cell>
          <cell r="T1087" t="b">
            <v>1</v>
          </cell>
          <cell r="U1087" t="b">
            <v>0</v>
          </cell>
          <cell r="V1087" t="b">
            <v>1</v>
          </cell>
          <cell r="W1087" t="b">
            <v>1</v>
          </cell>
        </row>
        <row r="1088">
          <cell r="C1088" t="str">
            <v>Waste Treatment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26.280438145531814</v>
          </cell>
          <cell r="S1088">
            <v>36.308790537485301</v>
          </cell>
          <cell r="T1088">
            <v>67.860897721095583</v>
          </cell>
          <cell r="U1088">
            <v>72.679021459293381</v>
          </cell>
          <cell r="V1088">
            <v>109.78326880153554</v>
          </cell>
          <cell r="W1088">
            <v>126.6324062032692</v>
          </cell>
        </row>
        <row r="1089">
          <cell r="C1089" t="str">
            <v>Biogas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1.8095468484257324</v>
          </cell>
          <cell r="T1089">
            <v>4.3523220798335771</v>
          </cell>
          <cell r="U1089">
            <v>9.2129289141838413</v>
          </cell>
          <cell r="V1089">
            <v>15.166183093759996</v>
          </cell>
          <cell r="W1089">
            <v>24.02457467758488</v>
          </cell>
        </row>
        <row r="1090">
          <cell r="C1090" t="str">
            <v>CER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0.66213175499190902</v>
          </cell>
          <cell r="T1090">
            <v>1.5552336885806068</v>
          </cell>
          <cell r="U1090">
            <v>3.2061524678810285</v>
          </cell>
          <cell r="V1090">
            <v>5.1683392148436642</v>
          </cell>
          <cell r="W1090">
            <v>7.9952208848410224</v>
          </cell>
        </row>
        <row r="1092">
          <cell r="C1092" t="str">
            <v>Deductions:</v>
          </cell>
        </row>
        <row r="1093">
          <cell r="C1093" t="str">
            <v>PIS</v>
          </cell>
          <cell r="D1093">
            <v>1.6500000000000001E-2</v>
          </cell>
        </row>
        <row r="1094">
          <cell r="C1094" t="str">
            <v>CONFINS</v>
          </cell>
          <cell r="D1094">
            <v>0.03</v>
          </cell>
        </row>
        <row r="1095">
          <cell r="C1095" t="str">
            <v>ISS</v>
          </cell>
          <cell r="D1095">
            <v>0.05</v>
          </cell>
        </row>
        <row r="1096">
          <cell r="C1096" t="str">
            <v xml:space="preserve"> Check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-2.53606228104382</v>
          </cell>
          <cell r="S1096">
            <v>-3.5879422153191278</v>
          </cell>
          <cell r="T1096">
            <v>-6.7509596067979851</v>
          </cell>
          <cell r="U1096">
            <v>-7.4419267653313605</v>
          </cell>
          <cell r="V1096">
            <v>-11.29931295320802</v>
          </cell>
          <cell r="W1096">
            <v>-13.337169921123175</v>
          </cell>
        </row>
        <row r="1097"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-2.5360622810438205</v>
          </cell>
          <cell r="S1097">
            <v>-3.5879422153191283</v>
          </cell>
          <cell r="T1097">
            <v>-6.7509596067979842</v>
          </cell>
          <cell r="U1097">
            <v>-7.4419267653313605</v>
          </cell>
          <cell r="V1097">
            <v>-11.299312953208021</v>
          </cell>
          <cell r="W1097">
            <v>-13.337169921123174</v>
          </cell>
        </row>
        <row r="1098">
          <cell r="M1098" t="b">
            <v>1</v>
          </cell>
          <cell r="N1098" t="b">
            <v>1</v>
          </cell>
          <cell r="O1098" t="b">
            <v>1</v>
          </cell>
          <cell r="P1098" t="b">
            <v>1</v>
          </cell>
          <cell r="Q1098" t="b">
            <v>1</v>
          </cell>
          <cell r="R1098" t="b">
            <v>1</v>
          </cell>
          <cell r="S1098" t="b">
            <v>1</v>
          </cell>
          <cell r="T1098" t="b">
            <v>0</v>
          </cell>
          <cell r="U1098" t="b">
            <v>1</v>
          </cell>
          <cell r="V1098" t="b">
            <v>1</v>
          </cell>
          <cell r="W1098" t="b">
            <v>1</v>
          </cell>
        </row>
        <row r="1099">
          <cell r="C1099" t="str">
            <v>Waste Treatment</v>
          </cell>
          <cell r="D1099">
            <v>9.6500000000000002E-2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-2.53606228104382</v>
          </cell>
          <cell r="S1099">
            <v>-3.5037982868673314</v>
          </cell>
          <cell r="T1099">
            <v>-6.5485766300857238</v>
          </cell>
          <cell r="U1099">
            <v>-7.0135255708218116</v>
          </cell>
          <cell r="V1099">
            <v>-10.594085439348181</v>
          </cell>
          <cell r="W1099">
            <v>-12.220027198615478</v>
          </cell>
        </row>
        <row r="1100">
          <cell r="C1100" t="str">
            <v>Biogas</v>
          </cell>
          <cell r="D1100">
            <v>4.65E-2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-8.4143928451796551E-2</v>
          </cell>
          <cell r="T1100">
            <v>-0.20238297671226133</v>
          </cell>
          <cell r="U1100">
            <v>-0.42840119450954861</v>
          </cell>
          <cell r="V1100">
            <v>-0.70522751385983984</v>
          </cell>
          <cell r="W1100">
            <v>-1.1171427225076969</v>
          </cell>
        </row>
        <row r="1101">
          <cell r="C1101" t="str">
            <v>CER</v>
          </cell>
          <cell r="D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</row>
        <row r="1103">
          <cell r="C1103" t="str">
            <v>Net Revenues: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23.744375864487996</v>
          </cell>
          <cell r="S1103">
            <v>35.19252692558382</v>
          </cell>
          <cell r="T1103">
            <v>67.017493882711776</v>
          </cell>
          <cell r="U1103">
            <v>77.656176076026881</v>
          </cell>
          <cell r="V1103">
            <v>118.81847815693119</v>
          </cell>
          <cell r="W1103">
            <v>145.31503184457191</v>
          </cell>
        </row>
        <row r="1104"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23.744375864487992</v>
          </cell>
          <cell r="S1104">
            <v>35.192526925583813</v>
          </cell>
          <cell r="T1104">
            <v>67.01749388271179</v>
          </cell>
          <cell r="U1104">
            <v>77.656176076026895</v>
          </cell>
          <cell r="V1104">
            <v>118.81847815693118</v>
          </cell>
          <cell r="W1104">
            <v>145.31503184457191</v>
          </cell>
        </row>
        <row r="1105">
          <cell r="M1105" t="b">
            <v>1</v>
          </cell>
          <cell r="N1105" t="b">
            <v>1</v>
          </cell>
          <cell r="O1105" t="b">
            <v>1</v>
          </cell>
          <cell r="P1105" t="b">
            <v>1</v>
          </cell>
          <cell r="Q1105" t="b">
            <v>1</v>
          </cell>
          <cell r="R1105" t="b">
            <v>1</v>
          </cell>
          <cell r="S1105" t="b">
            <v>1</v>
          </cell>
          <cell r="T1105" t="b">
            <v>1</v>
          </cell>
          <cell r="U1105" t="b">
            <v>1</v>
          </cell>
          <cell r="V1105" t="b">
            <v>1</v>
          </cell>
          <cell r="W1105" t="b">
            <v>1</v>
          </cell>
        </row>
        <row r="1106">
          <cell r="C1106" t="str">
            <v>Waste Treatment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23.744375864487996</v>
          </cell>
          <cell r="S1106">
            <v>32.804992250617971</v>
          </cell>
          <cell r="T1106">
            <v>61.312321091009856</v>
          </cell>
          <cell r="U1106">
            <v>65.665495888471568</v>
          </cell>
          <cell r="V1106">
            <v>99.189183362187364</v>
          </cell>
          <cell r="W1106">
            <v>114.41237900465372</v>
          </cell>
        </row>
        <row r="1107">
          <cell r="C1107" t="str">
            <v>Biogas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1.7254029199739358</v>
          </cell>
          <cell r="T1107">
            <v>4.1499391031213158</v>
          </cell>
          <cell r="U1107">
            <v>8.7845277196742924</v>
          </cell>
          <cell r="V1107">
            <v>14.460955579900155</v>
          </cell>
          <cell r="W1107">
            <v>22.907431955077183</v>
          </cell>
        </row>
        <row r="1108">
          <cell r="C1108" t="str">
            <v>CER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0.66213175499190902</v>
          </cell>
          <cell r="T1108">
            <v>1.5552336885806068</v>
          </cell>
          <cell r="U1108">
            <v>3.2061524678810285</v>
          </cell>
          <cell r="V1108">
            <v>5.1683392148436642</v>
          </cell>
          <cell r="W1108">
            <v>7.9952208848410224</v>
          </cell>
        </row>
        <row r="1110">
          <cell r="C1110" t="str">
            <v>Gross Income: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13.069541543204046</v>
          </cell>
          <cell r="S1110">
            <v>23.417324003287497</v>
          </cell>
          <cell r="T1110">
            <v>42.88452597508509</v>
          </cell>
          <cell r="U1110">
            <v>52.316559773018867</v>
          </cell>
          <cell r="V1110">
            <v>79.236553203537611</v>
          </cell>
          <cell r="W1110">
            <v>103.75401064350866</v>
          </cell>
        </row>
        <row r="1111"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13.069541543204043</v>
          </cell>
          <cell r="S1111">
            <v>23.417324003287497</v>
          </cell>
          <cell r="T1111">
            <v>42.884525975085104</v>
          </cell>
          <cell r="U1111">
            <v>52.316559773018874</v>
          </cell>
          <cell r="V1111">
            <v>79.236553203537596</v>
          </cell>
          <cell r="W1111">
            <v>103.75401064350865</v>
          </cell>
        </row>
        <row r="1112">
          <cell r="M1112" t="b">
            <v>1</v>
          </cell>
          <cell r="N1112" t="b">
            <v>1</v>
          </cell>
          <cell r="O1112" t="b">
            <v>1</v>
          </cell>
          <cell r="P1112" t="b">
            <v>1</v>
          </cell>
          <cell r="Q1112" t="b">
            <v>1</v>
          </cell>
          <cell r="R1112" t="b">
            <v>1</v>
          </cell>
          <cell r="S1112" t="b">
            <v>1</v>
          </cell>
          <cell r="T1112" t="b">
            <v>1</v>
          </cell>
          <cell r="U1112" t="b">
            <v>1</v>
          </cell>
          <cell r="V1112" t="b">
            <v>1</v>
          </cell>
          <cell r="W1112" t="b">
            <v>1</v>
          </cell>
        </row>
        <row r="1113">
          <cell r="C1113" t="str">
            <v>Waste Treatment - Net Revenues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23.744375864487996</v>
          </cell>
          <cell r="S1113">
            <v>32.804992250617971</v>
          </cell>
          <cell r="T1113">
            <v>61.312321091009856</v>
          </cell>
          <cell r="U1113">
            <v>65.665495888471568</v>
          </cell>
          <cell r="V1113">
            <v>99.189183362187364</v>
          </cell>
          <cell r="W1113">
            <v>114.41237900465372</v>
          </cell>
        </row>
        <row r="1114">
          <cell r="C1114" t="str">
            <v>(-) COGS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-10.674834321283949</v>
          </cell>
          <cell r="S1114">
            <v>-11.775202922296314</v>
          </cell>
          <cell r="T1114">
            <v>-24.132967907626686</v>
          </cell>
          <cell r="U1114">
            <v>-25.339616303008022</v>
          </cell>
          <cell r="V1114">
            <v>-39.581924953393575</v>
          </cell>
          <cell r="W1114">
            <v>-41.561021201063255</v>
          </cell>
        </row>
        <row r="1115">
          <cell r="C1115" t="str">
            <v>Gross Income Waste Treatment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13.069541543204046</v>
          </cell>
          <cell r="S1115">
            <v>21.029789328321655</v>
          </cell>
          <cell r="T1115">
            <v>37.179353183383171</v>
          </cell>
          <cell r="U1115">
            <v>40.325879585463547</v>
          </cell>
          <cell r="V1115">
            <v>59.60725840879379</v>
          </cell>
          <cell r="W1115">
            <v>72.85135780359046</v>
          </cell>
        </row>
        <row r="1116">
          <cell r="C1116" t="str">
            <v>Biogas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1.7254029199739358</v>
          </cell>
          <cell r="T1116">
            <v>4.1499391031213158</v>
          </cell>
          <cell r="U1116">
            <v>8.7845277196742924</v>
          </cell>
          <cell r="V1116">
            <v>14.460955579900155</v>
          </cell>
          <cell r="W1116">
            <v>22.907431955077183</v>
          </cell>
        </row>
        <row r="1117">
          <cell r="C1117" t="str">
            <v>CER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0.66213175499190902</v>
          </cell>
          <cell r="T1117">
            <v>1.5552336885806068</v>
          </cell>
          <cell r="U1117">
            <v>3.2061524678810285</v>
          </cell>
          <cell r="V1117">
            <v>5.1683392148436642</v>
          </cell>
          <cell r="W1117">
            <v>7.9952208848410224</v>
          </cell>
        </row>
        <row r="1119">
          <cell r="C1119" t="str">
            <v>Financials</v>
          </cell>
        </row>
        <row r="1121">
          <cell r="C1121" t="str">
            <v>Net Revenues</v>
          </cell>
          <cell r="M1121">
            <v>388.79705671822978</v>
          </cell>
          <cell r="N1121">
            <v>424.66238463177899</v>
          </cell>
          <cell r="O1121">
            <v>499.51864280879505</v>
          </cell>
          <cell r="P1121">
            <v>607.03985658048146</v>
          </cell>
          <cell r="Q1121">
            <v>796.09401291215499</v>
          </cell>
          <cell r="R1121">
            <v>941.39290852010436</v>
          </cell>
          <cell r="S1121">
            <v>1048.6788690026392</v>
          </cell>
          <cell r="T1121">
            <v>1191.110360523988</v>
          </cell>
          <cell r="U1121">
            <v>1280.9721463262892</v>
          </cell>
          <cell r="V1121">
            <v>1402.7287452398868</v>
          </cell>
          <cell r="W1121">
            <v>1517.2852972220198</v>
          </cell>
        </row>
        <row r="1122">
          <cell r="C1122" t="str">
            <v>EBITDA</v>
          </cell>
          <cell r="M1122">
            <v>144.44516481517439</v>
          </cell>
          <cell r="N1122">
            <v>181.63877072290512</v>
          </cell>
          <cell r="O1122">
            <v>225.75003776803555</v>
          </cell>
          <cell r="P1122">
            <v>287.02912955717301</v>
          </cell>
          <cell r="Q1122">
            <v>386.26646354025837</v>
          </cell>
          <cell r="R1122">
            <v>458.43809036677266</v>
          </cell>
          <cell r="S1122">
            <v>502.45325519374376</v>
          </cell>
          <cell r="T1122">
            <v>593.94520883455061</v>
          </cell>
          <cell r="U1122">
            <v>645.7559208417897</v>
          </cell>
          <cell r="V1122">
            <v>714.31453597138602</v>
          </cell>
          <cell r="W1122">
            <v>786.2079687376422</v>
          </cell>
        </row>
        <row r="1123">
          <cell r="C1123" t="str">
            <v>EBITDA Margin</v>
          </cell>
          <cell r="M1123">
            <v>0.3715181540580878</v>
          </cell>
          <cell r="N1123">
            <v>0.42772512305369947</v>
          </cell>
          <cell r="O1123">
            <v>0.45193516001453382</v>
          </cell>
          <cell r="P1123">
            <v>0.47283407579534875</v>
          </cell>
          <cell r="Q1123">
            <v>0.48520207070428117</v>
          </cell>
          <cell r="R1123">
            <v>0.48697848286051992</v>
          </cell>
          <cell r="S1123">
            <v>0.47912976035419597</v>
          </cell>
          <cell r="T1123">
            <v>0.49864834403192065</v>
          </cell>
          <cell r="U1123">
            <v>0.50411394400241916</v>
          </cell>
          <cell r="V1123">
            <v>0.50923212231544301</v>
          </cell>
          <cell r="W1123">
            <v>0.5181675260263191</v>
          </cell>
        </row>
        <row r="1124">
          <cell r="C1124" t="str">
            <v>CAPEX</v>
          </cell>
          <cell r="M1124">
            <v>25.774207194731922</v>
          </cell>
          <cell r="N1124">
            <v>216.09119183823117</v>
          </cell>
          <cell r="O1124">
            <v>261.49274192098511</v>
          </cell>
          <cell r="P1124">
            <v>177.32159850771791</v>
          </cell>
          <cell r="Q1124">
            <v>62.55604914483407</v>
          </cell>
          <cell r="R1124">
            <v>138.58466903751301</v>
          </cell>
          <cell r="S1124">
            <v>32.317803083103819</v>
          </cell>
          <cell r="T1124">
            <v>25.195617295858778</v>
          </cell>
          <cell r="U1124">
            <v>39.62861404674306</v>
          </cell>
          <cell r="V1124">
            <v>31.781863146357811</v>
          </cell>
          <cell r="W1124">
            <v>37.377294791784145</v>
          </cell>
        </row>
        <row r="1125">
          <cell r="C1125" t="str">
            <v>% Net Revenues</v>
          </cell>
          <cell r="M1125">
            <v>6.6292187014705434E-2</v>
          </cell>
          <cell r="N1125">
            <v>0.50885409129325621</v>
          </cell>
          <cell r="O1125">
            <v>0.52348945466901997</v>
          </cell>
          <cell r="P1125">
            <v>0.2921086590699149</v>
          </cell>
          <cell r="Q1125">
            <v>7.8578720766911248E-2</v>
          </cell>
          <cell r="R1125">
            <v>0.14721235711810485</v>
          </cell>
          <cell r="S1125">
            <v>3.0817635444337809E-2</v>
          </cell>
          <cell r="T1125">
            <v>2.1153050238581446E-2</v>
          </cell>
          <cell r="U1125">
            <v>3.093635888992145E-2</v>
          </cell>
          <cell r="V1125">
            <v>2.2657169644671859E-2</v>
          </cell>
          <cell r="W1125">
            <v>2.4634322141141026E-2</v>
          </cell>
        </row>
        <row r="1126">
          <cell r="C1126" t="str">
            <v>Net Income</v>
          </cell>
          <cell r="M1126">
            <v>43.601692546676851</v>
          </cell>
          <cell r="N1126">
            <v>109.12075929454384</v>
          </cell>
          <cell r="O1126">
            <v>134.44846001495708</v>
          </cell>
          <cell r="P1126">
            <v>187.8751847041822</v>
          </cell>
          <cell r="Q1126">
            <v>285.80429077025525</v>
          </cell>
          <cell r="R1126">
            <v>352.38123708037187</v>
          </cell>
          <cell r="S1126">
            <v>393.12042528989059</v>
          </cell>
          <cell r="T1126">
            <v>471.05135875553606</v>
          </cell>
          <cell r="U1126">
            <v>517.92884749721134</v>
          </cell>
          <cell r="V1126">
            <v>519.31063261560439</v>
          </cell>
          <cell r="W1126">
            <v>566.17076994477191</v>
          </cell>
        </row>
        <row r="1127">
          <cell r="C1127" t="str">
            <v>Net Margin</v>
          </cell>
          <cell r="M1127">
            <v>0.11214511991091539</v>
          </cell>
          <cell r="N1127">
            <v>0.25695885306432659</v>
          </cell>
          <cell r="O1127">
            <v>0.26915604042114011</v>
          </cell>
          <cell r="P1127">
            <v>0.309493985720316</v>
          </cell>
          <cell r="Q1127">
            <v>0.35900821527945886</v>
          </cell>
          <cell r="R1127">
            <v>0.37431898401946206</v>
          </cell>
          <cell r="S1127">
            <v>0.37487207658124483</v>
          </cell>
          <cell r="T1127">
            <v>0.3954724720455905</v>
          </cell>
          <cell r="U1127">
            <v>0.40432483171674249</v>
          </cell>
          <cell r="V1127">
            <v>0.37021457953140813</v>
          </cell>
          <cell r="W1127">
            <v>0.37314720638324739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"/>
      <sheetName val="DESP_OPERAC"/>
      <sheetName val="BANCDADO"/>
      <sheetName val="BAL_ACM"/>
      <sheetName val="BALANÇO"/>
      <sheetName val="BD_RESUL"/>
      <sheetName val="F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11-adm REV2-Real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7"/>
  <sheetViews>
    <sheetView showGridLines="0" zoomScaleNormal="100" zoomScaleSheetLayoutView="130" workbookViewId="0">
      <pane xSplit="16" ySplit="4" topLeftCell="Q306" activePane="bottomRight" state="frozen"/>
      <selection activeCell="H311" sqref="H311"/>
      <selection pane="topRight" activeCell="H311" sqref="H311"/>
      <selection pane="bottomLeft" activeCell="H311" sqref="H311"/>
      <selection pane="bottomRight" activeCell="J15" sqref="J15"/>
    </sheetView>
  </sheetViews>
  <sheetFormatPr defaultColWidth="10.85546875" defaultRowHeight="12" customHeight="1" outlineLevelRow="1"/>
  <cols>
    <col min="1" max="2" width="1.7109375" style="252" customWidth="1"/>
    <col min="3" max="6" width="3.28515625" style="252" customWidth="1"/>
    <col min="7" max="7" width="10.85546875" style="252"/>
    <col min="8" max="8" width="18.85546875" style="252" customWidth="1"/>
    <col min="9" max="9" width="0.7109375" style="252" customWidth="1"/>
    <col min="10" max="13" width="10.85546875" style="252"/>
    <col min="14" max="14" width="0.7109375" style="252" customWidth="1"/>
    <col min="15" max="15" width="20" style="252" bestFit="1" customWidth="1"/>
    <col min="16" max="17" width="0.7109375" style="252" customWidth="1"/>
    <col min="18" max="37" width="8.7109375" style="252" customWidth="1"/>
    <col min="38" max="16384" width="10.85546875" style="252"/>
  </cols>
  <sheetData>
    <row r="2" spans="2:37" s="246" customFormat="1" ht="12" customHeight="1">
      <c r="B2" s="246" t="s">
        <v>342</v>
      </c>
      <c r="O2" s="247" t="s">
        <v>218</v>
      </c>
      <c r="R2" s="246">
        <v>2023</v>
      </c>
      <c r="S2" s="246">
        <v>2024</v>
      </c>
      <c r="T2" s="246">
        <v>2025</v>
      </c>
      <c r="U2" s="246">
        <v>2026</v>
      </c>
      <c r="V2" s="246">
        <v>2027</v>
      </c>
      <c r="W2" s="246">
        <v>2028</v>
      </c>
      <c r="X2" s="246">
        <v>2029</v>
      </c>
      <c r="Y2" s="246">
        <v>2030</v>
      </c>
      <c r="Z2" s="246">
        <v>2031</v>
      </c>
      <c r="AA2" s="246">
        <v>2032</v>
      </c>
      <c r="AB2" s="246">
        <v>2033</v>
      </c>
      <c r="AC2" s="246">
        <v>2034</v>
      </c>
      <c r="AD2" s="246">
        <v>2035</v>
      </c>
      <c r="AE2" s="246">
        <v>2036</v>
      </c>
      <c r="AF2" s="246">
        <v>2037</v>
      </c>
      <c r="AG2" s="246">
        <v>2038</v>
      </c>
      <c r="AH2" s="246">
        <v>2039</v>
      </c>
      <c r="AI2" s="246">
        <v>2040</v>
      </c>
      <c r="AJ2" s="246">
        <v>2041</v>
      </c>
      <c r="AK2" s="246">
        <v>2042</v>
      </c>
    </row>
    <row r="3" spans="2:37" s="248" customFormat="1" ht="12" customHeight="1">
      <c r="B3" s="302" t="s">
        <v>347</v>
      </c>
      <c r="O3" s="249" t="s">
        <v>219</v>
      </c>
      <c r="R3" s="248">
        <v>1</v>
      </c>
      <c r="S3" s="248">
        <v>2</v>
      </c>
      <c r="T3" s="248">
        <v>3</v>
      </c>
      <c r="U3" s="248">
        <v>4</v>
      </c>
      <c r="V3" s="248">
        <v>5</v>
      </c>
      <c r="W3" s="248">
        <v>6</v>
      </c>
      <c r="X3" s="248">
        <v>7</v>
      </c>
      <c r="Y3" s="248">
        <v>8</v>
      </c>
      <c r="Z3" s="248">
        <v>9</v>
      </c>
      <c r="AA3" s="248">
        <v>10</v>
      </c>
      <c r="AB3" s="248">
        <v>11</v>
      </c>
      <c r="AC3" s="248">
        <v>12</v>
      </c>
      <c r="AD3" s="248">
        <v>13</v>
      </c>
      <c r="AE3" s="248">
        <v>14</v>
      </c>
      <c r="AF3" s="248">
        <v>15</v>
      </c>
      <c r="AG3" s="248">
        <v>16</v>
      </c>
      <c r="AH3" s="248">
        <v>17</v>
      </c>
      <c r="AI3" s="248">
        <v>18</v>
      </c>
      <c r="AJ3" s="248">
        <v>19</v>
      </c>
      <c r="AK3" s="248">
        <v>20</v>
      </c>
    </row>
    <row r="6" spans="2:37" s="246" customFormat="1" ht="12" customHeight="1">
      <c r="B6" s="250" t="s">
        <v>220</v>
      </c>
      <c r="C6" s="250"/>
      <c r="D6" s="250"/>
      <c r="E6" s="250"/>
      <c r="F6" s="250"/>
      <c r="G6" s="250"/>
      <c r="H6" s="250"/>
      <c r="I6" s="250"/>
      <c r="J6" s="250"/>
      <c r="K6" s="251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</row>
    <row r="7" spans="2:37" s="246" customFormat="1" ht="12" customHeight="1">
      <c r="T7" s="246" t="s">
        <v>207</v>
      </c>
    </row>
    <row r="8" spans="2:37" s="246" customFormat="1" ht="12" customHeight="1">
      <c r="C8" s="252" t="s">
        <v>221</v>
      </c>
      <c r="R8" s="253">
        <v>5.9966403265923299E-2</v>
      </c>
      <c r="S8" s="253">
        <v>3.8821975714082857E-2</v>
      </c>
      <c r="T8" s="253">
        <v>4.5156140016110236E-2</v>
      </c>
      <c r="U8" s="253">
        <v>4.5156140016110236E-2</v>
      </c>
      <c r="V8" s="253">
        <v>4.5156140016110236E-2</v>
      </c>
      <c r="W8" s="253">
        <v>4.5156140016110236E-2</v>
      </c>
      <c r="X8" s="253">
        <v>4.5156140016110236E-2</v>
      </c>
      <c r="Y8" s="253">
        <v>4.5156140016110236E-2</v>
      </c>
      <c r="Z8" s="253">
        <v>4.5156140016110236E-2</v>
      </c>
      <c r="AA8" s="253">
        <v>4.5156140016110236E-2</v>
      </c>
      <c r="AB8" s="253">
        <v>4.5156140016110236E-2</v>
      </c>
      <c r="AC8" s="253">
        <v>4.5156140016110236E-2</v>
      </c>
      <c r="AD8" s="253">
        <v>4.5156140016110236E-2</v>
      </c>
      <c r="AE8" s="253">
        <v>4.5156140016110236E-2</v>
      </c>
      <c r="AF8" s="253">
        <v>4.5156140016110236E-2</v>
      </c>
      <c r="AG8" s="253">
        <v>4.5156140016110236E-2</v>
      </c>
      <c r="AH8" s="253">
        <v>4.5156140016110236E-2</v>
      </c>
      <c r="AI8" s="253">
        <v>4.5156140016110236E-2</v>
      </c>
      <c r="AJ8" s="253">
        <v>4.5156140016110236E-2</v>
      </c>
      <c r="AK8" s="253">
        <v>4.5156140016110236E-2</v>
      </c>
    </row>
    <row r="9" spans="2:37" s="246" customFormat="1" ht="12" customHeight="1">
      <c r="C9" s="252" t="s">
        <v>222</v>
      </c>
      <c r="R9" s="254">
        <v>1</v>
      </c>
      <c r="S9" s="254">
        <v>1</v>
      </c>
      <c r="T9" s="254">
        <v>1.0388219757140829</v>
      </c>
      <c r="U9" s="254">
        <v>1.0857311663012403</v>
      </c>
      <c r="V9" s="254">
        <v>1.1347585948665939</v>
      </c>
      <c r="W9" s="254">
        <v>1.1859999128608743</v>
      </c>
      <c r="X9" s="254">
        <v>1.2395550909851145</v>
      </c>
      <c r="Y9" s="254">
        <v>1.2955286142313207</v>
      </c>
      <c r="Z9" s="254">
        <v>1.3540296857304275</v>
      </c>
      <c r="AA9" s="254">
        <v>1.4151724398052403</v>
      </c>
      <c r="AB9" s="254">
        <v>1.479076164644026</v>
      </c>
      <c r="AC9" s="254">
        <v>1.545865535029183</v>
      </c>
      <c r="AD9" s="254">
        <v>1.6156708555750399</v>
      </c>
      <c r="AE9" s="254">
        <v>1.6886283149493351</v>
      </c>
      <c r="AF9" s="254">
        <v>1.7648802515743556</v>
      </c>
      <c r="AG9" s="254">
        <v>1.8445754313261151</v>
      </c>
      <c r="AH9" s="254">
        <v>1.927869337773354</v>
      </c>
      <c r="AI9" s="254">
        <v>2.0149244755226134</v>
      </c>
      <c r="AJ9" s="254">
        <v>2.1059106872612001</v>
      </c>
      <c r="AK9" s="254">
        <v>2.2010054851165899</v>
      </c>
    </row>
    <row r="10" spans="2:37" ht="12" customHeight="1">
      <c r="C10" s="252" t="s">
        <v>223</v>
      </c>
      <c r="R10" s="253">
        <v>3.806440537232314E-2</v>
      </c>
      <c r="S10" s="253">
        <v>2.9516816129314227E-2</v>
      </c>
      <c r="T10" s="253">
        <v>0.03</v>
      </c>
      <c r="U10" s="253">
        <v>0.03</v>
      </c>
      <c r="V10" s="253">
        <v>0.03</v>
      </c>
      <c r="W10" s="253">
        <v>0.03</v>
      </c>
      <c r="X10" s="253">
        <v>0.03</v>
      </c>
      <c r="Y10" s="253">
        <v>0.03</v>
      </c>
      <c r="Z10" s="253">
        <v>0.03</v>
      </c>
      <c r="AA10" s="253">
        <v>0.03</v>
      </c>
      <c r="AB10" s="253">
        <v>0.03</v>
      </c>
      <c r="AC10" s="253">
        <v>0.03</v>
      </c>
      <c r="AD10" s="253">
        <v>0.03</v>
      </c>
      <c r="AE10" s="253">
        <v>0.03</v>
      </c>
      <c r="AF10" s="253">
        <v>0.03</v>
      </c>
      <c r="AG10" s="253">
        <v>0.03</v>
      </c>
      <c r="AH10" s="253">
        <v>0.03</v>
      </c>
      <c r="AI10" s="253">
        <v>0.03</v>
      </c>
      <c r="AJ10" s="253">
        <v>0.03</v>
      </c>
      <c r="AK10" s="253">
        <v>0.03</v>
      </c>
    </row>
    <row r="11" spans="2:37" s="246" customFormat="1" ht="12" customHeight="1">
      <c r="C11" s="252" t="s">
        <v>224</v>
      </c>
      <c r="R11" s="254">
        <v>1</v>
      </c>
      <c r="S11" s="254">
        <v>1</v>
      </c>
      <c r="T11" s="254">
        <v>1.0295168161293142</v>
      </c>
      <c r="U11" s="254">
        <v>1.0604023206131936</v>
      </c>
      <c r="V11" s="254">
        <v>1.0922143902315895</v>
      </c>
      <c r="W11" s="254">
        <v>1.1249808219385373</v>
      </c>
      <c r="X11" s="254">
        <v>1.1587302465966935</v>
      </c>
      <c r="Y11" s="254">
        <v>1.1934921539945944</v>
      </c>
      <c r="Z11" s="254">
        <v>1.2292969186144322</v>
      </c>
      <c r="AA11" s="254">
        <v>1.2661758261728653</v>
      </c>
      <c r="AB11" s="254">
        <v>1.3041611009580514</v>
      </c>
      <c r="AC11" s="254">
        <v>1.3432859339867929</v>
      </c>
      <c r="AD11" s="254">
        <v>1.3835845120063968</v>
      </c>
      <c r="AE11" s="254">
        <v>1.4250920473665887</v>
      </c>
      <c r="AF11" s="254">
        <v>1.4678448087875864</v>
      </c>
      <c r="AG11" s="254">
        <v>1.511880153051214</v>
      </c>
      <c r="AH11" s="254">
        <v>1.5572365576427505</v>
      </c>
      <c r="AI11" s="254">
        <v>1.603953654372033</v>
      </c>
      <c r="AJ11" s="254">
        <v>1.652072264003194</v>
      </c>
      <c r="AK11" s="254">
        <v>1.7016344319232899</v>
      </c>
    </row>
    <row r="12" spans="2:37" ht="12" customHeight="1">
      <c r="C12" s="252" t="s">
        <v>225</v>
      </c>
      <c r="R12" s="255">
        <v>5.4</v>
      </c>
      <c r="S12" s="255">
        <v>5.5</v>
      </c>
      <c r="T12" s="255">
        <v>5.5539215686274508</v>
      </c>
      <c r="U12" s="255">
        <v>5.5539215686274508</v>
      </c>
      <c r="V12" s="255">
        <v>5.5539215686274508</v>
      </c>
      <c r="W12" s="255">
        <v>5.5539215686274508</v>
      </c>
      <c r="X12" s="255">
        <v>5.5539215686274508</v>
      </c>
      <c r="Y12" s="255">
        <v>5.5539215686274508</v>
      </c>
      <c r="Z12" s="255">
        <v>5.5539215686274508</v>
      </c>
      <c r="AA12" s="255">
        <v>5.5539215686274508</v>
      </c>
      <c r="AB12" s="255">
        <v>5.5539215686274508</v>
      </c>
      <c r="AC12" s="255">
        <v>5.5539215686274508</v>
      </c>
      <c r="AD12" s="255">
        <v>5.5539215686274508</v>
      </c>
      <c r="AE12" s="255">
        <v>5.5539215686274508</v>
      </c>
      <c r="AF12" s="255">
        <v>5.5539215686274508</v>
      </c>
      <c r="AG12" s="255">
        <v>5.5539215686274508</v>
      </c>
      <c r="AH12" s="255">
        <v>5.5539215686274508</v>
      </c>
      <c r="AI12" s="255">
        <v>5.5539215686274508</v>
      </c>
      <c r="AJ12" s="255">
        <v>5.5539215686274508</v>
      </c>
      <c r="AK12" s="255">
        <v>5.5539215686274508</v>
      </c>
    </row>
    <row r="13" spans="2:37" s="246" customFormat="1" ht="12" customHeight="1">
      <c r="C13" s="252" t="s">
        <v>226</v>
      </c>
      <c r="R13" s="254"/>
      <c r="S13" s="253">
        <v>1.8518518518518379E-2</v>
      </c>
      <c r="T13" s="253">
        <v>9.8039215686274161E-3</v>
      </c>
      <c r="U13" s="253">
        <v>0</v>
      </c>
      <c r="V13" s="253">
        <v>0</v>
      </c>
      <c r="W13" s="253">
        <v>0</v>
      </c>
      <c r="X13" s="253">
        <v>0</v>
      </c>
      <c r="Y13" s="253">
        <v>0</v>
      </c>
      <c r="Z13" s="253">
        <v>0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>
        <v>0</v>
      </c>
      <c r="AG13" s="253">
        <v>0</v>
      </c>
      <c r="AH13" s="253">
        <v>0</v>
      </c>
      <c r="AI13" s="253">
        <v>0</v>
      </c>
      <c r="AJ13" s="253">
        <v>0</v>
      </c>
      <c r="AK13" s="253">
        <v>0</v>
      </c>
    </row>
    <row r="14" spans="2:37" s="246" customFormat="1" ht="12" customHeight="1">
      <c r="C14" s="252" t="s">
        <v>227</v>
      </c>
      <c r="R14" s="254">
        <v>1</v>
      </c>
      <c r="S14" s="254">
        <v>1</v>
      </c>
      <c r="T14" s="254">
        <v>1.0185185185185184</v>
      </c>
      <c r="U14" s="254">
        <v>1.0285039941902685</v>
      </c>
      <c r="V14" s="254">
        <v>1.0285039941902685</v>
      </c>
      <c r="W14" s="254">
        <v>1.0285039941902685</v>
      </c>
      <c r="X14" s="254">
        <v>1.0285039941902685</v>
      </c>
      <c r="Y14" s="254">
        <v>1.0285039941902685</v>
      </c>
      <c r="Z14" s="254">
        <v>1.0285039941902685</v>
      </c>
      <c r="AA14" s="254">
        <v>1.0285039941902685</v>
      </c>
      <c r="AB14" s="254">
        <v>1.0285039941902685</v>
      </c>
      <c r="AC14" s="254">
        <v>1.0285039941902685</v>
      </c>
      <c r="AD14" s="254">
        <v>1.0285039941902685</v>
      </c>
      <c r="AE14" s="254">
        <v>1.0285039941902685</v>
      </c>
      <c r="AF14" s="254">
        <v>1.0285039941902685</v>
      </c>
      <c r="AG14" s="254">
        <v>1.0285039941902685</v>
      </c>
      <c r="AH14" s="254">
        <v>1.0285039941902685</v>
      </c>
      <c r="AI14" s="254">
        <v>1.0285039941902685</v>
      </c>
      <c r="AJ14" s="254">
        <v>1.0285039941902685</v>
      </c>
      <c r="AK14" s="254">
        <v>1.0285039941902685</v>
      </c>
    </row>
    <row r="15" spans="2:37" s="246" customFormat="1" ht="12" customHeight="1">
      <c r="B15" s="252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</row>
    <row r="16" spans="2:37" s="246" customFormat="1" ht="12" customHeight="1">
      <c r="B16" s="250" t="s">
        <v>228</v>
      </c>
      <c r="C16" s="250"/>
      <c r="D16" s="250"/>
      <c r="E16" s="250"/>
      <c r="F16" s="250"/>
      <c r="G16" s="250"/>
      <c r="H16" s="250"/>
      <c r="I16" s="250"/>
      <c r="J16" s="250"/>
      <c r="K16" s="251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</row>
    <row r="18" spans="2:37" s="246" customFormat="1" ht="12" customHeight="1">
      <c r="B18" s="256" t="s">
        <v>229</v>
      </c>
      <c r="C18" s="256"/>
      <c r="D18" s="256"/>
      <c r="E18" s="256"/>
      <c r="F18" s="256"/>
      <c r="G18" s="256"/>
      <c r="H18" s="256"/>
      <c r="I18" s="256"/>
      <c r="J18" s="256"/>
      <c r="K18" s="257"/>
      <c r="L18" s="256"/>
      <c r="M18" s="256"/>
      <c r="N18" s="256"/>
      <c r="O18" s="258"/>
      <c r="P18" s="256"/>
      <c r="Q18" s="256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</row>
    <row r="19" spans="2:37" ht="12" customHeight="1">
      <c r="B19" s="252" t="s">
        <v>338</v>
      </c>
      <c r="K19" s="259" t="s">
        <v>5</v>
      </c>
      <c r="O19" s="260">
        <v>5153645.6300587403</v>
      </c>
      <c r="R19" s="260">
        <v>0</v>
      </c>
      <c r="S19" s="260">
        <v>0</v>
      </c>
      <c r="T19" s="260">
        <v>267488.39567357599</v>
      </c>
      <c r="U19" s="260">
        <v>269703.13101955201</v>
      </c>
      <c r="V19" s="260">
        <v>271917.86636552832</v>
      </c>
      <c r="W19" s="260">
        <v>274132.60171150463</v>
      </c>
      <c r="X19" s="260">
        <v>276347.33705748094</v>
      </c>
      <c r="Y19" s="260">
        <v>278562.07240345731</v>
      </c>
      <c r="Z19" s="260">
        <v>280776.80774943362</v>
      </c>
      <c r="AA19" s="260">
        <v>282991.54309540987</v>
      </c>
      <c r="AB19" s="260">
        <v>285206.27844138624</v>
      </c>
      <c r="AC19" s="260">
        <v>287421.01378736249</v>
      </c>
      <c r="AD19" s="260">
        <v>289635.74913333892</v>
      </c>
      <c r="AE19" s="260">
        <v>291850.48447931517</v>
      </c>
      <c r="AF19" s="260">
        <v>294065.21982529148</v>
      </c>
      <c r="AG19" s="260">
        <v>296279.95517126785</v>
      </c>
      <c r="AH19" s="260">
        <v>298494.69051724416</v>
      </c>
      <c r="AI19" s="260">
        <v>300709.42586322041</v>
      </c>
      <c r="AJ19" s="260">
        <v>302924.16120919684</v>
      </c>
      <c r="AK19" s="260">
        <v>305138.89655517315</v>
      </c>
    </row>
    <row r="20" spans="2:37" ht="12" customHeight="1">
      <c r="B20" s="252" t="s">
        <v>208</v>
      </c>
      <c r="K20" s="259" t="s">
        <v>5</v>
      </c>
      <c r="O20" s="260">
        <v>2888179.725501948</v>
      </c>
      <c r="R20" s="260">
        <v>0</v>
      </c>
      <c r="S20" s="260">
        <v>0</v>
      </c>
      <c r="T20" s="260">
        <v>149904.47862490287</v>
      </c>
      <c r="U20" s="260">
        <v>151145.64928015575</v>
      </c>
      <c r="V20" s="260">
        <v>152386.81993540868</v>
      </c>
      <c r="W20" s="260">
        <v>153627.99059066159</v>
      </c>
      <c r="X20" s="260">
        <v>154869.1612459145</v>
      </c>
      <c r="Y20" s="260">
        <v>156110.33190116746</v>
      </c>
      <c r="Z20" s="260">
        <v>157351.50255642037</v>
      </c>
      <c r="AA20" s="260">
        <v>158592.67321167327</v>
      </c>
      <c r="AB20" s="260">
        <v>159833.84386692621</v>
      </c>
      <c r="AC20" s="260">
        <v>161075.01452217912</v>
      </c>
      <c r="AD20" s="260">
        <v>162316.18517743202</v>
      </c>
      <c r="AE20" s="260">
        <v>163557.35583268493</v>
      </c>
      <c r="AF20" s="260">
        <v>164798.5264879379</v>
      </c>
      <c r="AG20" s="260">
        <v>166039.69714319077</v>
      </c>
      <c r="AH20" s="260">
        <v>167280.86779844371</v>
      </c>
      <c r="AI20" s="260">
        <v>168522.03845369664</v>
      </c>
      <c r="AJ20" s="260">
        <v>169763.20910894952</v>
      </c>
      <c r="AK20" s="260">
        <v>171004.37976420246</v>
      </c>
    </row>
    <row r="21" spans="2:37" ht="12" customHeight="1">
      <c r="B21" s="252" t="s">
        <v>212</v>
      </c>
      <c r="K21" s="259" t="s">
        <v>6</v>
      </c>
      <c r="O21" s="260">
        <v>216</v>
      </c>
      <c r="R21" s="260">
        <v>0</v>
      </c>
      <c r="S21" s="260">
        <v>0</v>
      </c>
      <c r="T21" s="260">
        <v>12</v>
      </c>
      <c r="U21" s="260">
        <v>12</v>
      </c>
      <c r="V21" s="260">
        <v>12</v>
      </c>
      <c r="W21" s="260">
        <v>12</v>
      </c>
      <c r="X21" s="260">
        <v>12</v>
      </c>
      <c r="Y21" s="260">
        <v>12</v>
      </c>
      <c r="Z21" s="260">
        <v>12</v>
      </c>
      <c r="AA21" s="260">
        <v>12</v>
      </c>
      <c r="AB21" s="260">
        <v>12</v>
      </c>
      <c r="AC21" s="260">
        <v>12</v>
      </c>
      <c r="AD21" s="260">
        <v>12</v>
      </c>
      <c r="AE21" s="260">
        <v>12</v>
      </c>
      <c r="AF21" s="260">
        <v>12</v>
      </c>
      <c r="AG21" s="260">
        <v>12</v>
      </c>
      <c r="AH21" s="260">
        <v>12</v>
      </c>
      <c r="AI21" s="260">
        <v>12</v>
      </c>
      <c r="AJ21" s="260">
        <v>12</v>
      </c>
      <c r="AK21" s="260">
        <v>12</v>
      </c>
    </row>
    <row r="22" spans="2:37" ht="12" customHeight="1">
      <c r="B22" s="252" t="s">
        <v>213</v>
      </c>
      <c r="K22" s="259" t="s">
        <v>5</v>
      </c>
      <c r="O22" s="260">
        <v>10272642.569985127</v>
      </c>
      <c r="R22" s="260">
        <v>0</v>
      </c>
      <c r="S22" s="260">
        <v>0</v>
      </c>
      <c r="T22" s="260">
        <v>549732.1291433241</v>
      </c>
      <c r="U22" s="260">
        <v>554283.77024972276</v>
      </c>
      <c r="V22" s="260">
        <v>558835.41135612177</v>
      </c>
      <c r="W22" s="260">
        <v>563387.05246252054</v>
      </c>
      <c r="X22" s="260">
        <v>567938.69356891944</v>
      </c>
      <c r="Y22" s="260">
        <v>549073.78489014343</v>
      </c>
      <c r="Z22" s="260">
        <v>553439.25039825425</v>
      </c>
      <c r="AA22" s="260">
        <v>557804.71590636508</v>
      </c>
      <c r="AB22" s="260">
        <v>562170.18141447625</v>
      </c>
      <c r="AC22" s="260">
        <v>566535.64692258707</v>
      </c>
      <c r="AD22" s="260">
        <v>570901.11243069812</v>
      </c>
      <c r="AE22" s="260">
        <v>575266.57793880894</v>
      </c>
      <c r="AF22" s="260">
        <v>579632.04344692</v>
      </c>
      <c r="AG22" s="260">
        <v>583997.50895503093</v>
      </c>
      <c r="AH22" s="260">
        <v>588362.97446314187</v>
      </c>
      <c r="AI22" s="260">
        <v>592728.43997125281</v>
      </c>
      <c r="AJ22" s="260">
        <v>597093.90547936375</v>
      </c>
      <c r="AK22" s="260">
        <v>601459.37098747469</v>
      </c>
    </row>
    <row r="23" spans="2:37" ht="12" customHeight="1">
      <c r="B23" s="252" t="s">
        <v>214</v>
      </c>
      <c r="K23" s="259" t="s">
        <v>5</v>
      </c>
      <c r="O23" s="260">
        <v>8425444.6197324004</v>
      </c>
      <c r="R23" s="260">
        <v>0</v>
      </c>
      <c r="S23" s="260">
        <v>0</v>
      </c>
      <c r="T23" s="260">
        <v>437303.77017464698</v>
      </c>
      <c r="U23" s="260">
        <v>440924.53328960598</v>
      </c>
      <c r="V23" s="260">
        <v>444545.29640456522</v>
      </c>
      <c r="W23" s="260">
        <v>448166.05951952434</v>
      </c>
      <c r="X23" s="260">
        <v>451786.82263448357</v>
      </c>
      <c r="Y23" s="260">
        <v>455407.58574944298</v>
      </c>
      <c r="Z23" s="260">
        <v>459028.34886440204</v>
      </c>
      <c r="AA23" s="260">
        <v>462649.1119793611</v>
      </c>
      <c r="AB23" s="260">
        <v>466269.87509432051</v>
      </c>
      <c r="AC23" s="260">
        <v>469890.63820927963</v>
      </c>
      <c r="AD23" s="260">
        <v>473511.40132423892</v>
      </c>
      <c r="AE23" s="260">
        <v>477132.16443919798</v>
      </c>
      <c r="AF23" s="260">
        <v>480752.92755415727</v>
      </c>
      <c r="AG23" s="260">
        <v>484373.69066911645</v>
      </c>
      <c r="AH23" s="260">
        <v>487994.45378407568</v>
      </c>
      <c r="AI23" s="260">
        <v>491615.2168990348</v>
      </c>
      <c r="AJ23" s="260">
        <v>495235.98001399403</v>
      </c>
      <c r="AK23" s="260">
        <v>498856.74312895321</v>
      </c>
    </row>
    <row r="24" spans="2:37" ht="12" customHeight="1">
      <c r="B24" s="252" t="s">
        <v>215</v>
      </c>
      <c r="K24" s="259" t="s">
        <v>5</v>
      </c>
      <c r="O24" s="260">
        <v>1847197.9502527248</v>
      </c>
      <c r="R24" s="260">
        <v>0</v>
      </c>
      <c r="S24" s="260">
        <v>0</v>
      </c>
      <c r="T24" s="260">
        <v>112428.35896867714</v>
      </c>
      <c r="U24" s="260">
        <v>113359.2369601168</v>
      </c>
      <c r="V24" s="260">
        <v>114290.11495155652</v>
      </c>
      <c r="W24" s="260">
        <v>115220.99294299619</v>
      </c>
      <c r="X24" s="260">
        <v>116151.87093443586</v>
      </c>
      <c r="Y24" s="260">
        <v>93666.199140700468</v>
      </c>
      <c r="Z24" s="260">
        <v>94410.901533852215</v>
      </c>
      <c r="AA24" s="260">
        <v>95155.603927003962</v>
      </c>
      <c r="AB24" s="260">
        <v>95900.306320155723</v>
      </c>
      <c r="AC24" s="260">
        <v>96645.00871330747</v>
      </c>
      <c r="AD24" s="260">
        <v>97389.711106459217</v>
      </c>
      <c r="AE24" s="260">
        <v>98134.41349961095</v>
      </c>
      <c r="AF24" s="260">
        <v>98879.11589276274</v>
      </c>
      <c r="AG24" s="260">
        <v>99623.818285914458</v>
      </c>
      <c r="AH24" s="260">
        <v>100368.52067906622</v>
      </c>
      <c r="AI24" s="260">
        <v>101113.22307221798</v>
      </c>
      <c r="AJ24" s="260">
        <v>101857.92546536971</v>
      </c>
      <c r="AK24" s="260">
        <v>102602.62785852147</v>
      </c>
    </row>
    <row r="25" spans="2:37" ht="12" customHeight="1">
      <c r="K25" s="259"/>
      <c r="O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</row>
    <row r="26" spans="2:37" s="246" customFormat="1" ht="12" customHeight="1">
      <c r="B26" s="250" t="s">
        <v>230</v>
      </c>
      <c r="C26" s="250"/>
      <c r="D26" s="250"/>
      <c r="E26" s="250"/>
      <c r="F26" s="250"/>
      <c r="G26" s="250"/>
      <c r="H26" s="250"/>
      <c r="I26" s="250"/>
      <c r="J26" s="250"/>
      <c r="K26" s="251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</row>
    <row r="28" spans="2:37" s="246" customFormat="1" ht="12" customHeight="1">
      <c r="B28" s="261" t="s">
        <v>128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2"/>
      <c r="P28" s="261"/>
      <c r="Q28" s="261"/>
      <c r="R28" s="262">
        <v>0</v>
      </c>
      <c r="S28" s="262">
        <v>0</v>
      </c>
      <c r="T28" s="262">
        <v>94898719.918999448</v>
      </c>
      <c r="U28" s="262">
        <v>95654425.986013904</v>
      </c>
      <c r="V28" s="262">
        <v>96410132.05302842</v>
      </c>
      <c r="W28" s="262">
        <v>97165838.120042905</v>
      </c>
      <c r="X28" s="262">
        <v>97921544.187057406</v>
      </c>
      <c r="Y28" s="262">
        <v>96057874.995102242</v>
      </c>
      <c r="Z28" s="262">
        <v>96792755.459692225</v>
      </c>
      <c r="AA28" s="262">
        <v>97527635.924282223</v>
      </c>
      <c r="AB28" s="262">
        <v>98262516.388872251</v>
      </c>
      <c r="AC28" s="262">
        <v>98997396.853462219</v>
      </c>
      <c r="AD28" s="262">
        <v>99732277.318052277</v>
      </c>
      <c r="AE28" s="262">
        <v>100467157.78264226</v>
      </c>
      <c r="AF28" s="262">
        <v>101202038.24723227</v>
      </c>
      <c r="AG28" s="262">
        <v>101936918.71182229</v>
      </c>
      <c r="AH28" s="262">
        <v>102671799.17641228</v>
      </c>
      <c r="AI28" s="262">
        <v>103406679.64100228</v>
      </c>
      <c r="AJ28" s="262">
        <v>104141560.10559231</v>
      </c>
      <c r="AK28" s="262">
        <v>104876440.57018232</v>
      </c>
    </row>
    <row r="30" spans="2:37" s="246" customFormat="1" ht="12" customHeight="1">
      <c r="B30" s="256" t="s">
        <v>229</v>
      </c>
      <c r="C30" s="256"/>
      <c r="D30" s="256"/>
      <c r="E30" s="256"/>
      <c r="F30" s="256"/>
      <c r="G30" s="256"/>
      <c r="H30" s="256"/>
      <c r="I30" s="256"/>
      <c r="J30" s="256" t="s">
        <v>231</v>
      </c>
      <c r="K30" s="257"/>
      <c r="L30" s="256"/>
      <c r="M30" s="256" t="s">
        <v>232</v>
      </c>
      <c r="N30" s="256"/>
      <c r="O30" s="258">
        <v>1788123711.4394915</v>
      </c>
      <c r="P30" s="256"/>
      <c r="Q30" s="256"/>
      <c r="R30" s="258">
        <v>0</v>
      </c>
      <c r="S30" s="258">
        <v>0</v>
      </c>
      <c r="T30" s="258">
        <v>94898719.918999448</v>
      </c>
      <c r="U30" s="258">
        <v>95654425.986013904</v>
      </c>
      <c r="V30" s="258">
        <v>96410132.05302842</v>
      </c>
      <c r="W30" s="258">
        <v>97165838.120042905</v>
      </c>
      <c r="X30" s="258">
        <v>97921544.187057406</v>
      </c>
      <c r="Y30" s="258">
        <v>96057874.995102242</v>
      </c>
      <c r="Z30" s="258">
        <v>96792755.459692225</v>
      </c>
      <c r="AA30" s="258">
        <v>97527635.924282223</v>
      </c>
      <c r="AB30" s="258">
        <v>98262516.388872251</v>
      </c>
      <c r="AC30" s="258">
        <v>98997396.853462219</v>
      </c>
      <c r="AD30" s="258">
        <v>99732277.318052277</v>
      </c>
      <c r="AE30" s="258">
        <v>100467157.78264226</v>
      </c>
      <c r="AF30" s="258">
        <v>101202038.24723227</v>
      </c>
      <c r="AG30" s="258">
        <v>101936918.71182229</v>
      </c>
      <c r="AH30" s="258">
        <v>102671799.17641228</v>
      </c>
      <c r="AI30" s="258">
        <v>103406679.64100228</v>
      </c>
      <c r="AJ30" s="258">
        <v>104141560.10559231</v>
      </c>
      <c r="AK30" s="258">
        <v>104876440.57018232</v>
      </c>
    </row>
    <row r="31" spans="2:37" s="246" customFormat="1" ht="12" customHeight="1">
      <c r="B31" s="252" t="s">
        <v>338</v>
      </c>
      <c r="J31" s="252" t="s">
        <v>233</v>
      </c>
      <c r="K31" s="263"/>
      <c r="M31" s="252" t="s">
        <v>234</v>
      </c>
      <c r="O31" s="264"/>
      <c r="R31" s="264">
        <v>0</v>
      </c>
      <c r="S31" s="264">
        <v>0</v>
      </c>
      <c r="T31" s="264">
        <v>25283003.159066379</v>
      </c>
      <c r="U31" s="264">
        <v>25492339.943968054</v>
      </c>
      <c r="V31" s="264">
        <v>25701676.728869736</v>
      </c>
      <c r="W31" s="264">
        <v>25911013.513771415</v>
      </c>
      <c r="X31" s="264">
        <v>26120350.298673097</v>
      </c>
      <c r="Y31" s="264">
        <v>26329687.083574783</v>
      </c>
      <c r="Z31" s="264">
        <v>26539023.868476465</v>
      </c>
      <c r="AA31" s="264">
        <v>26748360.65337814</v>
      </c>
      <c r="AB31" s="264">
        <v>26957697.438279826</v>
      </c>
      <c r="AC31" s="264">
        <v>27167034.223181501</v>
      </c>
      <c r="AD31" s="264">
        <v>27376371.008083194</v>
      </c>
      <c r="AE31" s="264">
        <v>27585707.792984869</v>
      </c>
      <c r="AF31" s="264">
        <v>27795044.577886548</v>
      </c>
      <c r="AG31" s="264">
        <v>28004381.362788238</v>
      </c>
      <c r="AH31" s="264">
        <v>28213718.147689916</v>
      </c>
      <c r="AI31" s="264">
        <v>28423054.932591591</v>
      </c>
      <c r="AJ31" s="264">
        <v>28632391.717493284</v>
      </c>
      <c r="AK31" s="264">
        <v>28841728.502394967</v>
      </c>
    </row>
    <row r="32" spans="2:37" s="246" customFormat="1" ht="12" customHeight="1">
      <c r="B32" s="252" t="s">
        <v>208</v>
      </c>
      <c r="J32" s="252" t="s">
        <v>233</v>
      </c>
      <c r="K32" s="263"/>
      <c r="M32" s="252" t="s">
        <v>234</v>
      </c>
      <c r="O32" s="264"/>
      <c r="R32" s="264">
        <v>0</v>
      </c>
      <c r="S32" s="264">
        <v>0</v>
      </c>
      <c r="T32" s="264">
        <v>4495635.3139608372</v>
      </c>
      <c r="U32" s="264">
        <v>4532858.0219118707</v>
      </c>
      <c r="V32" s="264">
        <v>4570080.729862906</v>
      </c>
      <c r="W32" s="264">
        <v>4607303.4378139405</v>
      </c>
      <c r="X32" s="264">
        <v>4644526.1457649758</v>
      </c>
      <c r="Y32" s="264">
        <v>4681748.8537160121</v>
      </c>
      <c r="Z32" s="264">
        <v>4718971.5616670465</v>
      </c>
      <c r="AA32" s="264">
        <v>4756194.2696180809</v>
      </c>
      <c r="AB32" s="264">
        <v>4793416.9775691172</v>
      </c>
      <c r="AC32" s="264">
        <v>4830639.6855201516</v>
      </c>
      <c r="AD32" s="264">
        <v>4867862.393471186</v>
      </c>
      <c r="AE32" s="264">
        <v>4905085.1014222205</v>
      </c>
      <c r="AF32" s="264">
        <v>4942307.8093732577</v>
      </c>
      <c r="AG32" s="264">
        <v>4979530.5173242912</v>
      </c>
      <c r="AH32" s="264">
        <v>5016753.2252753265</v>
      </c>
      <c r="AI32" s="264">
        <v>5053975.9332263619</v>
      </c>
      <c r="AJ32" s="264">
        <v>5091198.6411773963</v>
      </c>
      <c r="AK32" s="264">
        <v>5128421.3491284316</v>
      </c>
    </row>
    <row r="33" spans="2:37" s="246" customFormat="1" ht="12" customHeight="1">
      <c r="B33" s="252" t="s">
        <v>212</v>
      </c>
      <c r="J33" s="252" t="s">
        <v>233</v>
      </c>
      <c r="K33" s="263"/>
      <c r="M33" s="252" t="s">
        <v>234</v>
      </c>
      <c r="O33" s="264"/>
      <c r="R33" s="264">
        <v>0</v>
      </c>
      <c r="S33" s="264">
        <v>0</v>
      </c>
      <c r="T33" s="264">
        <v>3627045.4799999995</v>
      </c>
      <c r="U33" s="264">
        <v>3627045.4799999995</v>
      </c>
      <c r="V33" s="264">
        <v>3627045.4799999995</v>
      </c>
      <c r="W33" s="264">
        <v>3627045.4799999995</v>
      </c>
      <c r="X33" s="264">
        <v>3627045.4799999995</v>
      </c>
      <c r="Y33" s="264">
        <v>3627045.4799999995</v>
      </c>
      <c r="Z33" s="264">
        <v>3627045.4799999995</v>
      </c>
      <c r="AA33" s="264">
        <v>3627045.4799999995</v>
      </c>
      <c r="AB33" s="264">
        <v>3627045.4799999995</v>
      </c>
      <c r="AC33" s="264">
        <v>3627045.4799999995</v>
      </c>
      <c r="AD33" s="264">
        <v>3627045.4799999995</v>
      </c>
      <c r="AE33" s="264">
        <v>3627045.4799999995</v>
      </c>
      <c r="AF33" s="264">
        <v>3627045.4799999995</v>
      </c>
      <c r="AG33" s="264">
        <v>3627045.4799999995</v>
      </c>
      <c r="AH33" s="264">
        <v>3627045.4799999995</v>
      </c>
      <c r="AI33" s="264">
        <v>3627045.4799999995</v>
      </c>
      <c r="AJ33" s="264">
        <v>3627045.4799999995</v>
      </c>
      <c r="AK33" s="264">
        <v>3627045.4799999995</v>
      </c>
    </row>
    <row r="34" spans="2:37" s="246" customFormat="1" ht="12" customHeight="1">
      <c r="B34" s="252" t="s">
        <v>213</v>
      </c>
      <c r="J34" s="252" t="s">
        <v>233</v>
      </c>
      <c r="K34" s="263"/>
      <c r="M34" s="252" t="s">
        <v>234</v>
      </c>
      <c r="O34" s="264"/>
      <c r="R34" s="264">
        <v>0</v>
      </c>
      <c r="S34" s="264">
        <v>0</v>
      </c>
      <c r="T34" s="264">
        <v>20263126.280222926</v>
      </c>
      <c r="U34" s="264">
        <v>20430899.77140478</v>
      </c>
      <c r="V34" s="264">
        <v>20598673.26258665</v>
      </c>
      <c r="W34" s="264">
        <v>20766446.753768507</v>
      </c>
      <c r="X34" s="264">
        <v>20934220.244950369</v>
      </c>
      <c r="Y34" s="264">
        <v>20238859.711050685</v>
      </c>
      <c r="Z34" s="264">
        <v>20399770.769679651</v>
      </c>
      <c r="AA34" s="264">
        <v>20560681.828308616</v>
      </c>
      <c r="AB34" s="264">
        <v>20721592.886937596</v>
      </c>
      <c r="AC34" s="264">
        <v>20882503.945566557</v>
      </c>
      <c r="AD34" s="264">
        <v>21043415.004195534</v>
      </c>
      <c r="AE34" s="264">
        <v>21204326.062824499</v>
      </c>
      <c r="AF34" s="264">
        <v>21365237.121453471</v>
      </c>
      <c r="AG34" s="264">
        <v>21526148.18008244</v>
      </c>
      <c r="AH34" s="264">
        <v>21687059.238711409</v>
      </c>
      <c r="AI34" s="264">
        <v>21847970.297340378</v>
      </c>
      <c r="AJ34" s="264">
        <v>22008881.355969347</v>
      </c>
      <c r="AK34" s="264">
        <v>22169792.414598316</v>
      </c>
    </row>
    <row r="35" spans="2:37" s="246" customFormat="1" ht="12" customHeight="1">
      <c r="B35" s="252" t="s">
        <v>214</v>
      </c>
      <c r="J35" s="252" t="s">
        <v>233</v>
      </c>
      <c r="K35" s="263"/>
      <c r="M35" s="252" t="s">
        <v>234</v>
      </c>
      <c r="O35" s="264"/>
      <c r="R35" s="264">
        <v>0</v>
      </c>
      <c r="S35" s="264">
        <v>0</v>
      </c>
      <c r="T35" s="264">
        <v>32797782.763098523</v>
      </c>
      <c r="U35" s="264">
        <v>33069339.996720448</v>
      </c>
      <c r="V35" s="264">
        <v>33340897.230342392</v>
      </c>
      <c r="W35" s="264">
        <v>33612454.463964328</v>
      </c>
      <c r="X35" s="264">
        <v>33884011.697586268</v>
      </c>
      <c r="Y35" s="264">
        <v>34155568.931208223</v>
      </c>
      <c r="Z35" s="264">
        <v>34427126.164830156</v>
      </c>
      <c r="AA35" s="264">
        <v>34698683.398452081</v>
      </c>
      <c r="AB35" s="264">
        <v>34970240.632074036</v>
      </c>
      <c r="AC35" s="264">
        <v>35241797.865695968</v>
      </c>
      <c r="AD35" s="264">
        <v>35513355.099317916</v>
      </c>
      <c r="AE35" s="264">
        <v>35784912.332939848</v>
      </c>
      <c r="AF35" s="264">
        <v>36056469.566561796</v>
      </c>
      <c r="AG35" s="264">
        <v>36328026.800183736</v>
      </c>
      <c r="AH35" s="264">
        <v>36599584.033805676</v>
      </c>
      <c r="AI35" s="264">
        <v>36871141.267427608</v>
      </c>
      <c r="AJ35" s="264">
        <v>37142698.501049556</v>
      </c>
      <c r="AK35" s="264">
        <v>37414255.734671488</v>
      </c>
    </row>
    <row r="36" spans="2:37" s="246" customFormat="1" ht="12" customHeight="1">
      <c r="B36" s="252" t="s">
        <v>215</v>
      </c>
      <c r="J36" s="252" t="s">
        <v>233</v>
      </c>
      <c r="K36" s="263"/>
      <c r="M36" s="252" t="s">
        <v>234</v>
      </c>
      <c r="O36" s="264"/>
      <c r="R36" s="264">
        <v>0</v>
      </c>
      <c r="S36" s="264">
        <v>0</v>
      </c>
      <c r="T36" s="264">
        <v>8432126.9226507861</v>
      </c>
      <c r="U36" s="264">
        <v>8501942.7720087599</v>
      </c>
      <c r="V36" s="264">
        <v>8571758.6213667393</v>
      </c>
      <c r="W36" s="264">
        <v>8641574.4707247149</v>
      </c>
      <c r="X36" s="264">
        <v>8711390.3200826906</v>
      </c>
      <c r="Y36" s="264">
        <v>7024964.9355525346</v>
      </c>
      <c r="Z36" s="264">
        <v>7080817.6150389165</v>
      </c>
      <c r="AA36" s="264">
        <v>7136670.2945252974</v>
      </c>
      <c r="AB36" s="264">
        <v>7192522.9740116792</v>
      </c>
      <c r="AC36" s="264">
        <v>7248375.6534980601</v>
      </c>
      <c r="AD36" s="264">
        <v>7304228.332984441</v>
      </c>
      <c r="AE36" s="264">
        <v>7360081.0124708209</v>
      </c>
      <c r="AF36" s="264">
        <v>7415933.6919572055</v>
      </c>
      <c r="AG36" s="264">
        <v>7471786.3714435846</v>
      </c>
      <c r="AH36" s="264">
        <v>7527639.0509299664</v>
      </c>
      <c r="AI36" s="264">
        <v>7583491.7304163482</v>
      </c>
      <c r="AJ36" s="264">
        <v>7639344.4099027282</v>
      </c>
      <c r="AK36" s="264">
        <v>7695197.0893891109</v>
      </c>
    </row>
    <row r="38" spans="2:37" s="246" customFormat="1" ht="12" customHeight="1">
      <c r="B38" s="261" t="s">
        <v>235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261"/>
      <c r="Q38" s="261"/>
      <c r="R38" s="262">
        <v>1424151.520628545</v>
      </c>
      <c r="S38" s="262">
        <v>603558.8406285448</v>
      </c>
      <c r="T38" s="262">
        <v>1270377.7618327625</v>
      </c>
      <c r="U38" s="262">
        <v>1274179.7746602613</v>
      </c>
      <c r="V38" s="262">
        <v>1281356.5319698974</v>
      </c>
      <c r="W38" s="262">
        <v>1288479.9466085727</v>
      </c>
      <c r="X38" s="262">
        <v>1295542.3981947219</v>
      </c>
      <c r="Y38" s="262">
        <v>1274857.9766683325</v>
      </c>
      <c r="Z38" s="262">
        <v>1281548.1948197964</v>
      </c>
      <c r="AA38" s="262">
        <v>1288141.4262967871</v>
      </c>
      <c r="AB38" s="262">
        <v>1294618.2737644105</v>
      </c>
      <c r="AC38" s="262">
        <v>1300952.8741094714</v>
      </c>
      <c r="AD38" s="262">
        <v>1307064.8642006591</v>
      </c>
      <c r="AE38" s="262">
        <v>1312993.0441955458</v>
      </c>
      <c r="AF38" s="262">
        <v>1318616.4089278022</v>
      </c>
      <c r="AG38" s="262">
        <v>1323813.0322923758</v>
      </c>
      <c r="AH38" s="262">
        <v>1328369.543605424</v>
      </c>
      <c r="AI38" s="262">
        <v>1331739.7312308019</v>
      </c>
      <c r="AJ38" s="262">
        <v>1333095.6822862262</v>
      </c>
      <c r="AK38" s="262">
        <v>1328050.5128264031</v>
      </c>
    </row>
    <row r="39" spans="2:37" s="246" customFormat="1" ht="12" customHeight="1">
      <c r="B39" s="256" t="s">
        <v>195</v>
      </c>
      <c r="C39" s="256"/>
      <c r="D39" s="256"/>
      <c r="E39" s="256"/>
      <c r="F39" s="256"/>
      <c r="G39" s="256"/>
      <c r="H39" s="256"/>
      <c r="I39" s="256"/>
      <c r="J39" s="256"/>
      <c r="K39" s="257"/>
      <c r="L39" s="256"/>
      <c r="M39" s="256"/>
      <c r="N39" s="256"/>
      <c r="O39" s="258"/>
      <c r="P39" s="256"/>
      <c r="Q39" s="256"/>
      <c r="R39" s="258">
        <v>1424151.520628545</v>
      </c>
      <c r="S39" s="258">
        <v>603558.8406285448</v>
      </c>
      <c r="T39" s="258">
        <v>1270377.7618327625</v>
      </c>
      <c r="U39" s="258">
        <v>1274179.7746602613</v>
      </c>
      <c r="V39" s="258">
        <v>1281356.5319698974</v>
      </c>
      <c r="W39" s="258">
        <v>1288479.9466085727</v>
      </c>
      <c r="X39" s="258">
        <v>1295542.3981947219</v>
      </c>
      <c r="Y39" s="258">
        <v>1274857.9766683325</v>
      </c>
      <c r="Z39" s="258">
        <v>1281548.1948197964</v>
      </c>
      <c r="AA39" s="258">
        <v>1288141.4262967871</v>
      </c>
      <c r="AB39" s="258">
        <v>1294618.2737644105</v>
      </c>
      <c r="AC39" s="258">
        <v>1300952.8741094714</v>
      </c>
      <c r="AD39" s="258">
        <v>1307064.8642006591</v>
      </c>
      <c r="AE39" s="258">
        <v>1312993.0441955458</v>
      </c>
      <c r="AF39" s="258">
        <v>1318616.4089278022</v>
      </c>
      <c r="AG39" s="258">
        <v>1323813.0322923758</v>
      </c>
      <c r="AH39" s="258">
        <v>1328369.543605424</v>
      </c>
      <c r="AI39" s="258">
        <v>1331739.7312308019</v>
      </c>
      <c r="AJ39" s="258">
        <v>1333095.6822862262</v>
      </c>
      <c r="AK39" s="258">
        <v>1328050.5128264031</v>
      </c>
    </row>
    <row r="40" spans="2:37" s="246" customFormat="1" ht="12" customHeight="1">
      <c r="B40" s="252" t="s">
        <v>147</v>
      </c>
      <c r="J40" s="265">
        <v>1.5E-3</v>
      </c>
      <c r="K40" s="263"/>
      <c r="O40" s="264"/>
      <c r="R40" s="264">
        <v>201186.28020951492</v>
      </c>
      <c r="S40" s="264">
        <v>201186.28020951492</v>
      </c>
      <c r="T40" s="264">
        <v>201186.28020951492</v>
      </c>
      <c r="U40" s="264">
        <v>201186.28020951492</v>
      </c>
      <c r="V40" s="264">
        <v>202319.45241629958</v>
      </c>
      <c r="W40" s="264">
        <v>203444.20209609045</v>
      </c>
      <c r="X40" s="264">
        <v>204559.32603074558</v>
      </c>
      <c r="Y40" s="264">
        <v>201293.36473710512</v>
      </c>
      <c r="Z40" s="264">
        <v>202349.71497154681</v>
      </c>
      <c r="AA40" s="264">
        <v>203390.75152054534</v>
      </c>
      <c r="AB40" s="264">
        <v>204413.41164701217</v>
      </c>
      <c r="AC40" s="264">
        <v>205413.61170149548</v>
      </c>
      <c r="AD40" s="264">
        <v>206378.6627685251</v>
      </c>
      <c r="AE40" s="264">
        <v>207314.69118877038</v>
      </c>
      <c r="AF40" s="264">
        <v>208202.59088333719</v>
      </c>
      <c r="AG40" s="264">
        <v>209023.11036195405</v>
      </c>
      <c r="AH40" s="264">
        <v>209742.55951664588</v>
      </c>
      <c r="AI40" s="264">
        <v>210274.69440486343</v>
      </c>
      <c r="AJ40" s="264">
        <v>210488.79193993047</v>
      </c>
      <c r="AK40" s="264">
        <v>209692.18623574788</v>
      </c>
    </row>
    <row r="41" spans="2:37" s="246" customFormat="1" ht="12" customHeight="1">
      <c r="B41" s="252" t="s">
        <v>148</v>
      </c>
      <c r="J41" s="306">
        <v>3.0000000000000001E-3</v>
      </c>
      <c r="K41" s="263"/>
      <c r="O41" s="264"/>
      <c r="R41" s="264">
        <v>402372.56041902985</v>
      </c>
      <c r="S41" s="264">
        <v>402372.56041902985</v>
      </c>
      <c r="T41" s="264">
        <v>402372.56041902985</v>
      </c>
      <c r="U41" s="264">
        <v>402372.56041902985</v>
      </c>
      <c r="V41" s="264">
        <v>404638.90483259916</v>
      </c>
      <c r="W41" s="264">
        <v>406888.4041921809</v>
      </c>
      <c r="X41" s="264">
        <v>409118.65206149116</v>
      </c>
      <c r="Y41" s="264">
        <v>402586.72947421024</v>
      </c>
      <c r="Z41" s="264">
        <v>404699.42994309362</v>
      </c>
      <c r="AA41" s="264">
        <v>406781.50304109068</v>
      </c>
      <c r="AB41" s="264">
        <v>408826.82329402433</v>
      </c>
      <c r="AC41" s="264">
        <v>410827.22340299096</v>
      </c>
      <c r="AD41" s="264">
        <v>412757.3255370502</v>
      </c>
      <c r="AE41" s="264">
        <v>414629.38237754075</v>
      </c>
      <c r="AF41" s="264">
        <v>416405.18176667439</v>
      </c>
      <c r="AG41" s="264">
        <v>418046.2207239081</v>
      </c>
      <c r="AH41" s="264">
        <v>419485.11903329176</v>
      </c>
      <c r="AI41" s="264">
        <v>420549.38880972686</v>
      </c>
      <c r="AJ41" s="264">
        <v>420977.58387986093</v>
      </c>
      <c r="AK41" s="264">
        <v>419384.37247149576</v>
      </c>
    </row>
    <row r="42" spans="2:37" s="246" customFormat="1" ht="12" customHeight="1">
      <c r="B42" s="252" t="s">
        <v>149</v>
      </c>
      <c r="J42" s="265">
        <v>5.0000000000000001E-3</v>
      </c>
      <c r="K42" s="263"/>
      <c r="O42" s="264"/>
      <c r="R42" s="264">
        <v>0</v>
      </c>
      <c r="S42" s="264">
        <v>0</v>
      </c>
      <c r="T42" s="264">
        <v>666818.92120421759</v>
      </c>
      <c r="U42" s="264">
        <v>670620.93403171643</v>
      </c>
      <c r="V42" s="264">
        <v>674398.17472099862</v>
      </c>
      <c r="W42" s="264">
        <v>678147.34032030148</v>
      </c>
      <c r="X42" s="264">
        <v>681864.42010248534</v>
      </c>
      <c r="Y42" s="264">
        <v>670977.88245701708</v>
      </c>
      <c r="Z42" s="264">
        <v>674499.04990515602</v>
      </c>
      <c r="AA42" s="264">
        <v>677969.17173515109</v>
      </c>
      <c r="AB42" s="264">
        <v>681378.03882337396</v>
      </c>
      <c r="AC42" s="264">
        <v>684712.03900498501</v>
      </c>
      <c r="AD42" s="264">
        <v>687928.87589508377</v>
      </c>
      <c r="AE42" s="264">
        <v>691048.97062923468</v>
      </c>
      <c r="AF42" s="264">
        <v>694008.63627779065</v>
      </c>
      <c r="AG42" s="264">
        <v>696743.70120651356</v>
      </c>
      <c r="AH42" s="264">
        <v>699141.86505548633</v>
      </c>
      <c r="AI42" s="264">
        <v>700915.64801621146</v>
      </c>
      <c r="AJ42" s="264">
        <v>701629.30646643497</v>
      </c>
      <c r="AK42" s="264">
        <v>698973.95411915961</v>
      </c>
    </row>
    <row r="43" spans="2:37" s="314" customFormat="1" ht="12" customHeight="1">
      <c r="B43" s="310" t="s">
        <v>236</v>
      </c>
      <c r="G43" s="305">
        <v>820592.68</v>
      </c>
      <c r="J43" s="315">
        <v>5.1256483033341486E-3</v>
      </c>
      <c r="K43" s="316"/>
      <c r="O43" s="311">
        <v>820592.68</v>
      </c>
      <c r="R43" s="312">
        <v>820592.68</v>
      </c>
      <c r="S43" s="312">
        <v>0</v>
      </c>
      <c r="T43" s="312">
        <v>0</v>
      </c>
      <c r="U43" s="312">
        <v>0</v>
      </c>
      <c r="V43" s="312">
        <v>0</v>
      </c>
      <c r="W43" s="312">
        <v>0</v>
      </c>
      <c r="X43" s="312">
        <v>0</v>
      </c>
      <c r="Y43" s="312">
        <v>0</v>
      </c>
      <c r="Z43" s="312">
        <v>0</v>
      </c>
      <c r="AA43" s="312">
        <v>0</v>
      </c>
      <c r="AB43" s="312">
        <v>0</v>
      </c>
      <c r="AC43" s="312">
        <v>0</v>
      </c>
      <c r="AD43" s="312">
        <v>0</v>
      </c>
      <c r="AE43" s="312">
        <v>0</v>
      </c>
      <c r="AF43" s="312">
        <v>0</v>
      </c>
      <c r="AG43" s="312">
        <v>0</v>
      </c>
      <c r="AH43" s="312">
        <v>0</v>
      </c>
      <c r="AI43" s="312">
        <v>0</v>
      </c>
      <c r="AJ43" s="312">
        <v>0</v>
      </c>
      <c r="AK43" s="312">
        <v>0</v>
      </c>
    </row>
    <row r="44" spans="2:37" ht="12" customHeight="1">
      <c r="R44" s="267"/>
    </row>
    <row r="45" spans="2:37" s="246" customFormat="1" ht="12" customHeight="1">
      <c r="B45" s="250" t="s">
        <v>237</v>
      </c>
      <c r="C45" s="250"/>
      <c r="D45" s="250"/>
      <c r="E45" s="250"/>
      <c r="F45" s="250"/>
      <c r="G45" s="250"/>
      <c r="H45" s="250"/>
      <c r="I45" s="250"/>
      <c r="J45" s="250"/>
      <c r="K45" s="251" t="s">
        <v>238</v>
      </c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</row>
    <row r="46" spans="2:37" s="246" customFormat="1" ht="12" customHeight="1">
      <c r="K46" s="247"/>
    </row>
    <row r="47" spans="2:37" s="246" customFormat="1" ht="12" customHeight="1">
      <c r="B47" s="261" t="s">
        <v>239</v>
      </c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2">
        <v>160095393.097146</v>
      </c>
      <c r="P47" s="261"/>
      <c r="Q47" s="261"/>
      <c r="R47" s="262">
        <v>58726776.243362501</v>
      </c>
      <c r="S47" s="262">
        <v>58792688.323362485</v>
      </c>
      <c r="T47" s="262">
        <v>2354344.0161344996</v>
      </c>
      <c r="U47" s="262">
        <v>2354344.0161344996</v>
      </c>
      <c r="V47" s="262">
        <v>2354344.0161344996</v>
      </c>
      <c r="W47" s="262">
        <v>2354344.0161344996</v>
      </c>
      <c r="X47" s="262">
        <v>2420256.0961344996</v>
      </c>
      <c r="Y47" s="262">
        <v>2354344.0161344996</v>
      </c>
      <c r="Z47" s="262">
        <v>2354344.0161344996</v>
      </c>
      <c r="AA47" s="262">
        <v>2354344.0161344996</v>
      </c>
      <c r="AB47" s="262">
        <v>2354344.0161344996</v>
      </c>
      <c r="AC47" s="262">
        <v>2420256.0961344996</v>
      </c>
      <c r="AD47" s="262">
        <v>2354344.0161344996</v>
      </c>
      <c r="AE47" s="262">
        <v>2354344.0161344996</v>
      </c>
      <c r="AF47" s="262">
        <v>2354344.0161344996</v>
      </c>
      <c r="AG47" s="262">
        <v>2354344.0161344996</v>
      </c>
      <c r="AH47" s="262">
        <v>2420256.0961344996</v>
      </c>
      <c r="AI47" s="262">
        <v>2354344.0161344996</v>
      </c>
      <c r="AJ47" s="262">
        <v>2354344.0161344996</v>
      </c>
      <c r="AK47" s="262">
        <v>2354344.0161344996</v>
      </c>
    </row>
    <row r="48" spans="2:37" ht="12" customHeight="1">
      <c r="K48" s="263"/>
    </row>
    <row r="49" spans="2:37" s="246" customFormat="1" ht="12" customHeight="1">
      <c r="B49" s="256" t="s">
        <v>240</v>
      </c>
      <c r="C49" s="256"/>
      <c r="D49" s="256"/>
      <c r="E49" s="256"/>
      <c r="F49" s="256"/>
      <c r="G49" s="256"/>
      <c r="H49" s="256"/>
      <c r="I49" s="256"/>
      <c r="J49" s="256"/>
      <c r="K49" s="257"/>
      <c r="L49" s="256" t="s">
        <v>241</v>
      </c>
      <c r="M49" s="256"/>
      <c r="N49" s="256"/>
      <c r="O49" s="258">
        <v>160095393.097146</v>
      </c>
      <c r="P49" s="256"/>
      <c r="Q49" s="256"/>
      <c r="R49" s="258">
        <v>58726776.243362501</v>
      </c>
      <c r="S49" s="258">
        <v>58792688.323362485</v>
      </c>
      <c r="T49" s="258">
        <v>2354344.0161344996</v>
      </c>
      <c r="U49" s="258">
        <v>2354344.0161344996</v>
      </c>
      <c r="V49" s="258">
        <v>2354344.0161344996</v>
      </c>
      <c r="W49" s="258">
        <v>2354344.0161344996</v>
      </c>
      <c r="X49" s="258">
        <v>2420256.0961344996</v>
      </c>
      <c r="Y49" s="258">
        <v>2354344.0161344996</v>
      </c>
      <c r="Z49" s="258">
        <v>2354344.0161344996</v>
      </c>
      <c r="AA49" s="258">
        <v>2354344.0161344996</v>
      </c>
      <c r="AB49" s="258">
        <v>2354344.0161344996</v>
      </c>
      <c r="AC49" s="258">
        <v>2420256.0961344996</v>
      </c>
      <c r="AD49" s="258">
        <v>2354344.0161344996</v>
      </c>
      <c r="AE49" s="258">
        <v>2354344.0161344996</v>
      </c>
      <c r="AF49" s="258">
        <v>2354344.0161344996</v>
      </c>
      <c r="AG49" s="258">
        <v>2354344.0161344996</v>
      </c>
      <c r="AH49" s="258">
        <v>2420256.0961344996</v>
      </c>
      <c r="AI49" s="258">
        <v>2354344.0161344996</v>
      </c>
      <c r="AJ49" s="258">
        <v>2354344.0161344996</v>
      </c>
      <c r="AK49" s="258">
        <v>2354344.0161344996</v>
      </c>
    </row>
    <row r="50" spans="2:37" s="246" customFormat="1" ht="12" customHeight="1">
      <c r="B50" s="252" t="s">
        <v>216</v>
      </c>
      <c r="J50" s="252" t="s">
        <v>233</v>
      </c>
      <c r="K50" s="263">
        <v>20</v>
      </c>
      <c r="L50" s="246" t="s">
        <v>339</v>
      </c>
      <c r="M50" s="252" t="s">
        <v>242</v>
      </c>
      <c r="O50" s="264">
        <v>94941324.944599971</v>
      </c>
      <c r="R50" s="264">
        <v>47399940.872299992</v>
      </c>
      <c r="S50" s="264">
        <v>47435301.672299989</v>
      </c>
      <c r="T50" s="264">
        <v>0</v>
      </c>
      <c r="U50" s="264">
        <v>0</v>
      </c>
      <c r="V50" s="264">
        <v>0</v>
      </c>
      <c r="W50" s="264">
        <v>0</v>
      </c>
      <c r="X50" s="264">
        <v>35360.800000000003</v>
      </c>
      <c r="Y50" s="264">
        <v>0</v>
      </c>
      <c r="Z50" s="264">
        <v>0</v>
      </c>
      <c r="AA50" s="264">
        <v>0</v>
      </c>
      <c r="AB50" s="264">
        <v>0</v>
      </c>
      <c r="AC50" s="264">
        <v>35360.800000000003</v>
      </c>
      <c r="AD50" s="264">
        <v>0</v>
      </c>
      <c r="AE50" s="264">
        <v>0</v>
      </c>
      <c r="AF50" s="264">
        <v>0</v>
      </c>
      <c r="AG50" s="264">
        <v>0</v>
      </c>
      <c r="AH50" s="264">
        <v>35360.800000000003</v>
      </c>
      <c r="AI50" s="264">
        <v>0</v>
      </c>
      <c r="AJ50" s="264">
        <v>0</v>
      </c>
      <c r="AK50" s="264">
        <v>0</v>
      </c>
    </row>
    <row r="51" spans="2:37" s="246" customFormat="1" ht="12" customHeight="1">
      <c r="B51" s="252" t="s">
        <v>210</v>
      </c>
      <c r="J51" s="252" t="s">
        <v>233</v>
      </c>
      <c r="K51" s="263">
        <v>20</v>
      </c>
      <c r="L51" s="246" t="s">
        <v>339</v>
      </c>
      <c r="M51" s="252" t="s">
        <v>242</v>
      </c>
      <c r="O51" s="264">
        <v>12893437.892124997</v>
      </c>
      <c r="R51" s="264">
        <v>6385616.3860625001</v>
      </c>
      <c r="S51" s="264">
        <v>6416167.6660625003</v>
      </c>
      <c r="T51" s="264">
        <v>0</v>
      </c>
      <c r="U51" s="264">
        <v>0</v>
      </c>
      <c r="V51" s="264">
        <v>0</v>
      </c>
      <c r="W51" s="264">
        <v>0</v>
      </c>
      <c r="X51" s="264">
        <v>30551.279999999999</v>
      </c>
      <c r="Y51" s="264">
        <v>0</v>
      </c>
      <c r="Z51" s="264">
        <v>0</v>
      </c>
      <c r="AA51" s="264">
        <v>0</v>
      </c>
      <c r="AB51" s="264">
        <v>0</v>
      </c>
      <c r="AC51" s="264">
        <v>30551.279999999999</v>
      </c>
      <c r="AD51" s="264">
        <v>0</v>
      </c>
      <c r="AE51" s="264">
        <v>0</v>
      </c>
      <c r="AF51" s="264">
        <v>0</v>
      </c>
      <c r="AG51" s="264">
        <v>0</v>
      </c>
      <c r="AH51" s="264">
        <v>30551.279999999999</v>
      </c>
      <c r="AI51" s="264">
        <v>0</v>
      </c>
      <c r="AJ51" s="264">
        <v>0</v>
      </c>
      <c r="AK51" s="264">
        <v>0</v>
      </c>
    </row>
    <row r="52" spans="2:37" s="246" customFormat="1" ht="12" customHeight="1">
      <c r="B52" s="252" t="s">
        <v>211</v>
      </c>
      <c r="J52" s="252" t="s">
        <v>233</v>
      </c>
      <c r="K52" s="263">
        <v>20</v>
      </c>
      <c r="L52" s="246" t="s">
        <v>339</v>
      </c>
      <c r="M52" s="252" t="s">
        <v>242</v>
      </c>
      <c r="O52" s="264">
        <v>9673991.5399999991</v>
      </c>
      <c r="R52" s="264">
        <v>4836995.7699999996</v>
      </c>
      <c r="S52" s="264">
        <v>4836995.7699999996</v>
      </c>
      <c r="T52" s="264">
        <v>0</v>
      </c>
      <c r="U52" s="264">
        <v>0</v>
      </c>
      <c r="V52" s="264">
        <v>0</v>
      </c>
      <c r="W52" s="264">
        <v>0</v>
      </c>
      <c r="X52" s="264">
        <v>0</v>
      </c>
      <c r="Y52" s="264">
        <v>0</v>
      </c>
      <c r="Z52" s="264">
        <v>0</v>
      </c>
      <c r="AA52" s="264">
        <v>0</v>
      </c>
      <c r="AB52" s="264">
        <v>0</v>
      </c>
      <c r="AC52" s="264">
        <v>0</v>
      </c>
      <c r="AD52" s="264">
        <v>0</v>
      </c>
      <c r="AE52" s="264">
        <v>0</v>
      </c>
      <c r="AF52" s="264">
        <v>0</v>
      </c>
      <c r="AG52" s="264">
        <v>0</v>
      </c>
      <c r="AH52" s="264">
        <v>0</v>
      </c>
      <c r="AI52" s="264">
        <v>0</v>
      </c>
      <c r="AJ52" s="264">
        <v>0</v>
      </c>
      <c r="AK52" s="264">
        <v>0</v>
      </c>
    </row>
    <row r="53" spans="2:37" s="246" customFormat="1" ht="12" customHeight="1">
      <c r="B53" s="252" t="s">
        <v>217</v>
      </c>
      <c r="J53" s="252" t="s">
        <v>233</v>
      </c>
      <c r="K53" s="263">
        <v>20</v>
      </c>
      <c r="L53" s="246" t="s">
        <v>339</v>
      </c>
      <c r="M53" s="252" t="s">
        <v>242</v>
      </c>
      <c r="O53" s="264">
        <v>208446.43</v>
      </c>
      <c r="R53" s="264">
        <v>104223.215</v>
      </c>
      <c r="S53" s="264">
        <v>104223.215</v>
      </c>
      <c r="T53" s="264">
        <v>0</v>
      </c>
      <c r="U53" s="264">
        <v>0</v>
      </c>
      <c r="V53" s="264">
        <v>0</v>
      </c>
      <c r="W53" s="264">
        <v>0</v>
      </c>
      <c r="X53" s="264">
        <v>0</v>
      </c>
      <c r="Y53" s="264">
        <v>0</v>
      </c>
      <c r="Z53" s="264">
        <v>0</v>
      </c>
      <c r="AA53" s="264">
        <v>0</v>
      </c>
      <c r="AB53" s="264">
        <v>0</v>
      </c>
      <c r="AC53" s="264">
        <v>0</v>
      </c>
      <c r="AD53" s="264">
        <v>0</v>
      </c>
      <c r="AE53" s="264">
        <v>0</v>
      </c>
      <c r="AF53" s="264">
        <v>0</v>
      </c>
      <c r="AG53" s="264">
        <v>0</v>
      </c>
      <c r="AH53" s="264">
        <v>0</v>
      </c>
      <c r="AI53" s="264">
        <v>0</v>
      </c>
      <c r="AJ53" s="264">
        <v>0</v>
      </c>
      <c r="AK53" s="264">
        <v>0</v>
      </c>
    </row>
    <row r="54" spans="2:37" s="246" customFormat="1" ht="12" customHeight="1">
      <c r="B54" s="252" t="s">
        <v>245</v>
      </c>
      <c r="H54" s="307">
        <v>0.02</v>
      </c>
      <c r="J54" s="252" t="s">
        <v>233</v>
      </c>
      <c r="K54" s="263">
        <v>20</v>
      </c>
      <c r="L54" s="246" t="s">
        <v>339</v>
      </c>
      <c r="M54" s="252" t="s">
        <v>242</v>
      </c>
      <c r="O54" s="264">
        <v>42378192.290421002</v>
      </c>
      <c r="R54" s="264">
        <v>0</v>
      </c>
      <c r="S54" s="264">
        <v>0</v>
      </c>
      <c r="T54" s="264">
        <v>2354344.0161344996</v>
      </c>
      <c r="U54" s="264">
        <v>2354344.0161344996</v>
      </c>
      <c r="V54" s="264">
        <v>2354344.0161344996</v>
      </c>
      <c r="W54" s="264">
        <v>2354344.0161344996</v>
      </c>
      <c r="X54" s="264">
        <v>2354344.0161344996</v>
      </c>
      <c r="Y54" s="264">
        <v>2354344.0161344996</v>
      </c>
      <c r="Z54" s="264">
        <v>2354344.0161344996</v>
      </c>
      <c r="AA54" s="264">
        <v>2354344.0161344996</v>
      </c>
      <c r="AB54" s="264">
        <v>2354344.0161344996</v>
      </c>
      <c r="AC54" s="264">
        <v>2354344.0161344996</v>
      </c>
      <c r="AD54" s="264">
        <v>2354344.0161344996</v>
      </c>
      <c r="AE54" s="264">
        <v>2354344.0161344996</v>
      </c>
      <c r="AF54" s="264">
        <v>2354344.0161344996</v>
      </c>
      <c r="AG54" s="264">
        <v>2354344.0161344996</v>
      </c>
      <c r="AH54" s="264">
        <v>2354344.0161344996</v>
      </c>
      <c r="AI54" s="264">
        <v>2354344.0161344996</v>
      </c>
      <c r="AJ54" s="264">
        <v>2354344.0161344996</v>
      </c>
      <c r="AK54" s="264">
        <v>2354344.0161344996</v>
      </c>
    </row>
    <row r="56" spans="2:37" s="246" customFormat="1" ht="12" customHeight="1">
      <c r="B56" s="261" t="s">
        <v>246</v>
      </c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2"/>
      <c r="P56" s="261"/>
      <c r="Q56" s="261"/>
      <c r="R56" s="262">
        <v>0</v>
      </c>
      <c r="S56" s="262">
        <v>0</v>
      </c>
      <c r="T56" s="262">
        <v>0</v>
      </c>
      <c r="U56" s="262">
        <v>0</v>
      </c>
      <c r="V56" s="262">
        <v>0</v>
      </c>
      <c r="W56" s="262">
        <v>0</v>
      </c>
      <c r="X56" s="262">
        <v>0</v>
      </c>
      <c r="Y56" s="262">
        <v>0</v>
      </c>
      <c r="Z56" s="262">
        <v>0</v>
      </c>
      <c r="AA56" s="262">
        <v>0</v>
      </c>
      <c r="AB56" s="262">
        <v>0</v>
      </c>
      <c r="AC56" s="262">
        <v>0</v>
      </c>
      <c r="AD56" s="262">
        <v>0</v>
      </c>
      <c r="AE56" s="262">
        <v>0</v>
      </c>
      <c r="AF56" s="262">
        <v>0</v>
      </c>
      <c r="AG56" s="262">
        <v>0</v>
      </c>
      <c r="AH56" s="262">
        <v>0</v>
      </c>
      <c r="AI56" s="262">
        <v>0</v>
      </c>
      <c r="AJ56" s="262">
        <v>0</v>
      </c>
      <c r="AK56" s="262">
        <v>0</v>
      </c>
    </row>
    <row r="58" spans="2:37" s="246" customFormat="1" ht="12" customHeight="1">
      <c r="B58" s="269" t="s">
        <v>1</v>
      </c>
      <c r="C58" s="246" t="s">
        <v>237</v>
      </c>
      <c r="G58" s="247">
        <v>20</v>
      </c>
      <c r="H58" s="246" t="s">
        <v>339</v>
      </c>
      <c r="M58" s="252"/>
      <c r="O58" s="270">
        <v>160095393.097146</v>
      </c>
      <c r="R58" s="270">
        <v>58726776.243362501</v>
      </c>
      <c r="S58" s="270">
        <v>58792688.323362485</v>
      </c>
      <c r="T58" s="270">
        <v>2354344.0161344996</v>
      </c>
      <c r="U58" s="270">
        <v>2354344.0161344996</v>
      </c>
      <c r="V58" s="270">
        <v>2354344.0161344996</v>
      </c>
      <c r="W58" s="270">
        <v>2354344.0161344996</v>
      </c>
      <c r="X58" s="270">
        <v>2420256.0961344996</v>
      </c>
      <c r="Y58" s="270">
        <v>2354344.0161344996</v>
      </c>
      <c r="Z58" s="270">
        <v>2354344.0161344996</v>
      </c>
      <c r="AA58" s="270">
        <v>2354344.0161344996</v>
      </c>
      <c r="AB58" s="270">
        <v>2354344.0161344996</v>
      </c>
      <c r="AC58" s="270">
        <v>2420256.0961344996</v>
      </c>
      <c r="AD58" s="270">
        <v>2354344.0161344996</v>
      </c>
      <c r="AE58" s="270">
        <v>2354344.0161344996</v>
      </c>
      <c r="AF58" s="270">
        <v>2354344.0161344996</v>
      </c>
      <c r="AG58" s="270">
        <v>2354344.0161344996</v>
      </c>
      <c r="AH58" s="270">
        <v>2420256.0961344996</v>
      </c>
      <c r="AI58" s="270">
        <v>2354344.0161344996</v>
      </c>
      <c r="AJ58" s="270">
        <v>2354344.0161344996</v>
      </c>
      <c r="AK58" s="270">
        <v>2354344.0161344996</v>
      </c>
    </row>
    <row r="59" spans="2:37" s="246" customFormat="1" ht="12" customHeight="1">
      <c r="B59" s="269"/>
      <c r="C59" s="246" t="s">
        <v>247</v>
      </c>
      <c r="G59" s="247"/>
      <c r="M59" s="252" t="s">
        <v>248</v>
      </c>
      <c r="O59" s="270">
        <v>157741049.08101147</v>
      </c>
      <c r="R59" s="270">
        <v>0</v>
      </c>
      <c r="S59" s="270">
        <v>0</v>
      </c>
      <c r="T59" s="270">
        <v>6528859.1425958332</v>
      </c>
      <c r="U59" s="270">
        <v>6667349.9670743328</v>
      </c>
      <c r="V59" s="270">
        <v>6814496.468082739</v>
      </c>
      <c r="W59" s="270">
        <v>6971452.7358250394</v>
      </c>
      <c r="X59" s="270">
        <v>7139620.1655489318</v>
      </c>
      <c r="Y59" s="270">
        <v>7325793.7114054319</v>
      </c>
      <c r="Z59" s="270">
        <v>7521989.0460833069</v>
      </c>
      <c r="AA59" s="270">
        <v>7736020.3202773519</v>
      </c>
      <c r="AB59" s="270">
        <v>7971454.7218908016</v>
      </c>
      <c r="AC59" s="270">
        <v>8233048.5014613019</v>
      </c>
      <c r="AD59" s="270">
        <v>8535580.5134781152</v>
      </c>
      <c r="AE59" s="270">
        <v>8871915.3729258999</v>
      </c>
      <c r="AF59" s="270">
        <v>9264306.04228165</v>
      </c>
      <c r="AG59" s="270">
        <v>9735174.8455085494</v>
      </c>
      <c r="AH59" s="270">
        <v>10323760.849542174</v>
      </c>
      <c r="AI59" s="270">
        <v>11130512.881587008</v>
      </c>
      <c r="AJ59" s="270">
        <v>12307684.889654258</v>
      </c>
      <c r="AK59" s="270">
        <v>14662028.905788757</v>
      </c>
    </row>
    <row r="60" spans="2:37" ht="12" customHeight="1">
      <c r="G60" s="263"/>
    </row>
    <row r="61" spans="2:37" ht="12" hidden="1" customHeight="1" outlineLevel="1">
      <c r="B61" s="271" t="s">
        <v>249</v>
      </c>
      <c r="C61" s="271" t="s">
        <v>250</v>
      </c>
      <c r="D61" s="271" t="s">
        <v>251</v>
      </c>
      <c r="E61" s="271" t="s">
        <v>252</v>
      </c>
      <c r="G61" s="263" t="s">
        <v>253</v>
      </c>
      <c r="H61" s="271"/>
      <c r="J61" s="271"/>
      <c r="K61" s="271"/>
      <c r="L61" s="271"/>
      <c r="M61" s="271"/>
    </row>
    <row r="62" spans="2:37" ht="12" hidden="1" customHeight="1" outlineLevel="1">
      <c r="B62" s="271">
        <v>0</v>
      </c>
      <c r="C62" s="271">
        <v>1</v>
      </c>
      <c r="D62" s="271">
        <v>20</v>
      </c>
      <c r="E62" s="271">
        <v>20</v>
      </c>
      <c r="G62" s="272">
        <v>0</v>
      </c>
      <c r="O62" s="264">
        <v>0</v>
      </c>
      <c r="R62" s="264">
        <v>0</v>
      </c>
      <c r="S62" s="264">
        <v>0</v>
      </c>
      <c r="T62" s="264">
        <v>0</v>
      </c>
      <c r="U62" s="264">
        <v>0</v>
      </c>
      <c r="V62" s="264">
        <v>0</v>
      </c>
      <c r="W62" s="264">
        <v>0</v>
      </c>
      <c r="X62" s="264">
        <v>0</v>
      </c>
      <c r="Y62" s="264">
        <v>0</v>
      </c>
      <c r="Z62" s="264">
        <v>0</v>
      </c>
      <c r="AA62" s="264">
        <v>0</v>
      </c>
      <c r="AB62" s="264">
        <v>0</v>
      </c>
      <c r="AC62" s="264">
        <v>0</v>
      </c>
      <c r="AD62" s="264">
        <v>0</v>
      </c>
      <c r="AE62" s="264">
        <v>0</v>
      </c>
      <c r="AF62" s="264">
        <v>0</v>
      </c>
      <c r="AG62" s="264">
        <v>0</v>
      </c>
      <c r="AH62" s="264">
        <v>0</v>
      </c>
      <c r="AI62" s="264">
        <v>0</v>
      </c>
      <c r="AJ62" s="264">
        <v>0</v>
      </c>
      <c r="AK62" s="264">
        <v>0</v>
      </c>
    </row>
    <row r="63" spans="2:37" ht="12" hidden="1" customHeight="1" outlineLevel="1">
      <c r="B63" s="271">
        <v>1</v>
      </c>
      <c r="C63" s="299">
        <v>3</v>
      </c>
      <c r="D63" s="271">
        <v>20</v>
      </c>
      <c r="E63" s="271">
        <v>20</v>
      </c>
      <c r="G63" s="272">
        <v>58726776.243362501</v>
      </c>
      <c r="O63" s="264">
        <v>58726776.243362516</v>
      </c>
      <c r="R63" s="264">
        <v>0</v>
      </c>
      <c r="S63" s="264">
        <v>0</v>
      </c>
      <c r="T63" s="264">
        <v>3262598.6801868058</v>
      </c>
      <c r="U63" s="264">
        <v>3262598.6801868058</v>
      </c>
      <c r="V63" s="264">
        <v>3262598.6801868058</v>
      </c>
      <c r="W63" s="264">
        <v>3262598.6801868058</v>
      </c>
      <c r="X63" s="264">
        <v>3262598.6801868058</v>
      </c>
      <c r="Y63" s="264">
        <v>3262598.6801868058</v>
      </c>
      <c r="Z63" s="264">
        <v>3262598.6801868058</v>
      </c>
      <c r="AA63" s="264">
        <v>3262598.6801868058</v>
      </c>
      <c r="AB63" s="264">
        <v>3262598.6801868058</v>
      </c>
      <c r="AC63" s="264">
        <v>3262598.6801868058</v>
      </c>
      <c r="AD63" s="264">
        <v>3262598.6801868058</v>
      </c>
      <c r="AE63" s="264">
        <v>3262598.6801868058</v>
      </c>
      <c r="AF63" s="264">
        <v>3262598.6801868058</v>
      </c>
      <c r="AG63" s="264">
        <v>3262598.6801868058</v>
      </c>
      <c r="AH63" s="264">
        <v>3262598.6801868058</v>
      </c>
      <c r="AI63" s="264">
        <v>3262598.6801868058</v>
      </c>
      <c r="AJ63" s="264">
        <v>3262598.6801868058</v>
      </c>
      <c r="AK63" s="264">
        <v>3262598.6801868058</v>
      </c>
    </row>
    <row r="64" spans="2:37" ht="12" hidden="1" customHeight="1" outlineLevel="1">
      <c r="B64" s="271">
        <v>2</v>
      </c>
      <c r="C64" s="271">
        <v>3</v>
      </c>
      <c r="D64" s="271">
        <v>20</v>
      </c>
      <c r="E64" s="271">
        <v>20</v>
      </c>
      <c r="G64" s="272">
        <v>58792688.323362485</v>
      </c>
      <c r="O64" s="264">
        <v>58792688.323362485</v>
      </c>
      <c r="R64" s="264">
        <v>0</v>
      </c>
      <c r="S64" s="264">
        <v>0</v>
      </c>
      <c r="T64" s="264">
        <v>3266260.4624090269</v>
      </c>
      <c r="U64" s="264">
        <v>3266260.4624090269</v>
      </c>
      <c r="V64" s="264">
        <v>3266260.4624090269</v>
      </c>
      <c r="W64" s="264">
        <v>3266260.4624090269</v>
      </c>
      <c r="X64" s="264">
        <v>3266260.4624090269</v>
      </c>
      <c r="Y64" s="264">
        <v>3266260.4624090269</v>
      </c>
      <c r="Z64" s="264">
        <v>3266260.4624090269</v>
      </c>
      <c r="AA64" s="264">
        <v>3266260.4624090269</v>
      </c>
      <c r="AB64" s="264">
        <v>3266260.4624090269</v>
      </c>
      <c r="AC64" s="264">
        <v>3266260.4624090269</v>
      </c>
      <c r="AD64" s="264">
        <v>3266260.4624090269</v>
      </c>
      <c r="AE64" s="264">
        <v>3266260.4624090269</v>
      </c>
      <c r="AF64" s="264">
        <v>3266260.4624090269</v>
      </c>
      <c r="AG64" s="264">
        <v>3266260.4624090269</v>
      </c>
      <c r="AH64" s="264">
        <v>3266260.4624090269</v>
      </c>
      <c r="AI64" s="264">
        <v>3266260.4624090269</v>
      </c>
      <c r="AJ64" s="264">
        <v>3266260.4624090269</v>
      </c>
      <c r="AK64" s="264">
        <v>3266260.4624090269</v>
      </c>
    </row>
    <row r="65" spans="2:37" ht="12" hidden="1" customHeight="1" outlineLevel="1">
      <c r="B65" s="271">
        <v>3</v>
      </c>
      <c r="C65" s="271">
        <v>4</v>
      </c>
      <c r="D65" s="271">
        <v>20</v>
      </c>
      <c r="E65" s="271">
        <v>20</v>
      </c>
      <c r="G65" s="272">
        <v>2354344.0161344996</v>
      </c>
      <c r="O65" s="264">
        <v>2354344.0161345</v>
      </c>
      <c r="R65" s="264">
        <v>0</v>
      </c>
      <c r="S65" s="264">
        <v>0</v>
      </c>
      <c r="T65" s="264">
        <v>0</v>
      </c>
      <c r="U65" s="264">
        <v>138490.82447849997</v>
      </c>
      <c r="V65" s="264">
        <v>138490.82447849997</v>
      </c>
      <c r="W65" s="264">
        <v>138490.82447849997</v>
      </c>
      <c r="X65" s="264">
        <v>138490.82447849997</v>
      </c>
      <c r="Y65" s="264">
        <v>138490.82447849997</v>
      </c>
      <c r="Z65" s="264">
        <v>138490.82447849997</v>
      </c>
      <c r="AA65" s="264">
        <v>138490.82447849997</v>
      </c>
      <c r="AB65" s="264">
        <v>138490.82447849997</v>
      </c>
      <c r="AC65" s="264">
        <v>138490.82447849997</v>
      </c>
      <c r="AD65" s="264">
        <v>138490.82447849997</v>
      </c>
      <c r="AE65" s="264">
        <v>138490.82447849997</v>
      </c>
      <c r="AF65" s="264">
        <v>138490.82447849997</v>
      </c>
      <c r="AG65" s="264">
        <v>138490.82447849997</v>
      </c>
      <c r="AH65" s="264">
        <v>138490.82447849997</v>
      </c>
      <c r="AI65" s="264">
        <v>138490.82447849997</v>
      </c>
      <c r="AJ65" s="264">
        <v>138490.82447849997</v>
      </c>
      <c r="AK65" s="264">
        <v>138490.82447849997</v>
      </c>
    </row>
    <row r="66" spans="2:37" ht="12" hidden="1" customHeight="1" outlineLevel="1">
      <c r="B66" s="271">
        <v>4</v>
      </c>
      <c r="C66" s="271">
        <v>5</v>
      </c>
      <c r="D66" s="271">
        <v>20</v>
      </c>
      <c r="E66" s="271">
        <v>20</v>
      </c>
      <c r="G66" s="272">
        <v>2354344.0161344996</v>
      </c>
      <c r="O66" s="264">
        <v>2354344.0161345</v>
      </c>
      <c r="R66" s="264">
        <v>0</v>
      </c>
      <c r="S66" s="264">
        <v>0</v>
      </c>
      <c r="T66" s="264">
        <v>0</v>
      </c>
      <c r="U66" s="264">
        <v>0</v>
      </c>
      <c r="V66" s="264">
        <v>147146.50100840622</v>
      </c>
      <c r="W66" s="264">
        <v>147146.50100840622</v>
      </c>
      <c r="X66" s="264">
        <v>147146.50100840622</v>
      </c>
      <c r="Y66" s="264">
        <v>147146.50100840622</v>
      </c>
      <c r="Z66" s="264">
        <v>147146.50100840622</v>
      </c>
      <c r="AA66" s="264">
        <v>147146.50100840622</v>
      </c>
      <c r="AB66" s="264">
        <v>147146.50100840622</v>
      </c>
      <c r="AC66" s="264">
        <v>147146.50100840622</v>
      </c>
      <c r="AD66" s="264">
        <v>147146.50100840622</v>
      </c>
      <c r="AE66" s="264">
        <v>147146.50100840622</v>
      </c>
      <c r="AF66" s="264">
        <v>147146.50100840622</v>
      </c>
      <c r="AG66" s="264">
        <v>147146.50100840622</v>
      </c>
      <c r="AH66" s="264">
        <v>147146.50100840622</v>
      </c>
      <c r="AI66" s="264">
        <v>147146.50100840622</v>
      </c>
      <c r="AJ66" s="264">
        <v>147146.50100840622</v>
      </c>
      <c r="AK66" s="264">
        <v>147146.50100840622</v>
      </c>
    </row>
    <row r="67" spans="2:37" ht="12" hidden="1" customHeight="1" outlineLevel="1">
      <c r="B67" s="271">
        <v>5</v>
      </c>
      <c r="C67" s="271">
        <v>6</v>
      </c>
      <c r="D67" s="271">
        <v>20</v>
      </c>
      <c r="E67" s="271">
        <v>20</v>
      </c>
      <c r="G67" s="272">
        <v>2354344.0161344996</v>
      </c>
      <c r="O67" s="264">
        <v>2354344.0161344996</v>
      </c>
      <c r="R67" s="264">
        <v>0</v>
      </c>
      <c r="S67" s="264">
        <v>0</v>
      </c>
      <c r="T67" s="264">
        <v>0</v>
      </c>
      <c r="U67" s="264">
        <v>0</v>
      </c>
      <c r="V67" s="264">
        <v>0</v>
      </c>
      <c r="W67" s="264">
        <v>156956.26774229997</v>
      </c>
      <c r="X67" s="264">
        <v>156956.26774229997</v>
      </c>
      <c r="Y67" s="264">
        <v>156956.26774229997</v>
      </c>
      <c r="Z67" s="264">
        <v>156956.26774229997</v>
      </c>
      <c r="AA67" s="264">
        <v>156956.26774229997</v>
      </c>
      <c r="AB67" s="264">
        <v>156956.26774229997</v>
      </c>
      <c r="AC67" s="264">
        <v>156956.26774229997</v>
      </c>
      <c r="AD67" s="264">
        <v>156956.26774229997</v>
      </c>
      <c r="AE67" s="264">
        <v>156956.26774229997</v>
      </c>
      <c r="AF67" s="264">
        <v>156956.26774229997</v>
      </c>
      <c r="AG67" s="264">
        <v>156956.26774229997</v>
      </c>
      <c r="AH67" s="264">
        <v>156956.26774229997</v>
      </c>
      <c r="AI67" s="264">
        <v>156956.26774229997</v>
      </c>
      <c r="AJ67" s="264">
        <v>156956.26774229997</v>
      </c>
      <c r="AK67" s="264">
        <v>156956.26774229997</v>
      </c>
    </row>
    <row r="68" spans="2:37" ht="12" hidden="1" customHeight="1" outlineLevel="1">
      <c r="B68" s="271">
        <v>6</v>
      </c>
      <c r="C68" s="271">
        <v>7</v>
      </c>
      <c r="D68" s="271">
        <v>20</v>
      </c>
      <c r="E68" s="271">
        <v>20</v>
      </c>
      <c r="G68" s="272">
        <v>2354344.0161344996</v>
      </c>
      <c r="O68" s="264">
        <v>2354344.0161344996</v>
      </c>
      <c r="R68" s="264">
        <v>0</v>
      </c>
      <c r="S68" s="264">
        <v>0</v>
      </c>
      <c r="T68" s="264">
        <v>0</v>
      </c>
      <c r="U68" s="264">
        <v>0</v>
      </c>
      <c r="V68" s="264">
        <v>0</v>
      </c>
      <c r="W68" s="264">
        <v>0</v>
      </c>
      <c r="X68" s="264">
        <v>168167.42972389283</v>
      </c>
      <c r="Y68" s="264">
        <v>168167.42972389283</v>
      </c>
      <c r="Z68" s="264">
        <v>168167.42972389283</v>
      </c>
      <c r="AA68" s="264">
        <v>168167.42972389283</v>
      </c>
      <c r="AB68" s="264">
        <v>168167.42972389283</v>
      </c>
      <c r="AC68" s="264">
        <v>168167.42972389283</v>
      </c>
      <c r="AD68" s="264">
        <v>168167.42972389283</v>
      </c>
      <c r="AE68" s="264">
        <v>168167.42972389283</v>
      </c>
      <c r="AF68" s="264">
        <v>168167.42972389283</v>
      </c>
      <c r="AG68" s="264">
        <v>168167.42972389283</v>
      </c>
      <c r="AH68" s="264">
        <v>168167.42972389283</v>
      </c>
      <c r="AI68" s="264">
        <v>168167.42972389283</v>
      </c>
      <c r="AJ68" s="264">
        <v>168167.42972389283</v>
      </c>
      <c r="AK68" s="264">
        <v>168167.42972389283</v>
      </c>
    </row>
    <row r="69" spans="2:37" ht="12" hidden="1" customHeight="1" outlineLevel="1">
      <c r="B69" s="271">
        <v>7</v>
      </c>
      <c r="C69" s="271">
        <v>8</v>
      </c>
      <c r="D69" s="271">
        <v>20</v>
      </c>
      <c r="E69" s="271">
        <v>20</v>
      </c>
      <c r="G69" s="272">
        <v>2420256.0961344996</v>
      </c>
      <c r="O69" s="264">
        <v>2420256.0961345001</v>
      </c>
      <c r="R69" s="264">
        <v>0</v>
      </c>
      <c r="S69" s="264">
        <v>0</v>
      </c>
      <c r="T69" s="264">
        <v>0</v>
      </c>
      <c r="U69" s="264">
        <v>0</v>
      </c>
      <c r="V69" s="264">
        <v>0</v>
      </c>
      <c r="W69" s="264">
        <v>0</v>
      </c>
      <c r="X69" s="264">
        <v>0</v>
      </c>
      <c r="Y69" s="264">
        <v>186173.54585649999</v>
      </c>
      <c r="Z69" s="264">
        <v>186173.54585649999</v>
      </c>
      <c r="AA69" s="264">
        <v>186173.54585649999</v>
      </c>
      <c r="AB69" s="264">
        <v>186173.54585649999</v>
      </c>
      <c r="AC69" s="264">
        <v>186173.54585649999</v>
      </c>
      <c r="AD69" s="264">
        <v>186173.54585649999</v>
      </c>
      <c r="AE69" s="264">
        <v>186173.54585649999</v>
      </c>
      <c r="AF69" s="264">
        <v>186173.54585649999</v>
      </c>
      <c r="AG69" s="264">
        <v>186173.54585649999</v>
      </c>
      <c r="AH69" s="264">
        <v>186173.54585649999</v>
      </c>
      <c r="AI69" s="264">
        <v>186173.54585649999</v>
      </c>
      <c r="AJ69" s="264">
        <v>186173.54585649999</v>
      </c>
      <c r="AK69" s="264">
        <v>186173.54585649999</v>
      </c>
    </row>
    <row r="70" spans="2:37" ht="12" hidden="1" customHeight="1" outlineLevel="1">
      <c r="B70" s="271">
        <v>8</v>
      </c>
      <c r="C70" s="271">
        <v>9</v>
      </c>
      <c r="D70" s="271">
        <v>20</v>
      </c>
      <c r="E70" s="271">
        <v>20</v>
      </c>
      <c r="G70" s="272">
        <v>2354344.0161344996</v>
      </c>
      <c r="O70" s="264">
        <v>2354344.0161345</v>
      </c>
      <c r="R70" s="264">
        <v>0</v>
      </c>
      <c r="S70" s="264">
        <v>0</v>
      </c>
      <c r="T70" s="264">
        <v>0</v>
      </c>
      <c r="U70" s="264">
        <v>0</v>
      </c>
      <c r="V70" s="264">
        <v>0</v>
      </c>
      <c r="W70" s="264">
        <v>0</v>
      </c>
      <c r="X70" s="264">
        <v>0</v>
      </c>
      <c r="Y70" s="264">
        <v>0</v>
      </c>
      <c r="Z70" s="264">
        <v>196195.33467787495</v>
      </c>
      <c r="AA70" s="264">
        <v>196195.33467787495</v>
      </c>
      <c r="AB70" s="264">
        <v>196195.33467787495</v>
      </c>
      <c r="AC70" s="264">
        <v>196195.33467787495</v>
      </c>
      <c r="AD70" s="264">
        <v>196195.33467787495</v>
      </c>
      <c r="AE70" s="264">
        <v>196195.33467787495</v>
      </c>
      <c r="AF70" s="264">
        <v>196195.33467787495</v>
      </c>
      <c r="AG70" s="264">
        <v>196195.33467787495</v>
      </c>
      <c r="AH70" s="264">
        <v>196195.33467787495</v>
      </c>
      <c r="AI70" s="264">
        <v>196195.33467787495</v>
      </c>
      <c r="AJ70" s="264">
        <v>196195.33467787495</v>
      </c>
      <c r="AK70" s="264">
        <v>196195.33467787495</v>
      </c>
    </row>
    <row r="71" spans="2:37" ht="12" hidden="1" customHeight="1" outlineLevel="1">
      <c r="B71" s="271">
        <v>9</v>
      </c>
      <c r="C71" s="271">
        <v>10</v>
      </c>
      <c r="D71" s="271">
        <v>20</v>
      </c>
      <c r="E71" s="271">
        <v>20</v>
      </c>
      <c r="G71" s="272">
        <v>2354344.0161344996</v>
      </c>
      <c r="O71" s="264">
        <v>2354344.0161344996</v>
      </c>
      <c r="R71" s="264">
        <v>0</v>
      </c>
      <c r="S71" s="264">
        <v>0</v>
      </c>
      <c r="T71" s="264">
        <v>0</v>
      </c>
      <c r="U71" s="264">
        <v>0</v>
      </c>
      <c r="V71" s="264">
        <v>0</v>
      </c>
      <c r="W71" s="264">
        <v>0</v>
      </c>
      <c r="X71" s="264">
        <v>0</v>
      </c>
      <c r="Y71" s="264">
        <v>0</v>
      </c>
      <c r="Z71" s="264">
        <v>0</v>
      </c>
      <c r="AA71" s="264">
        <v>214031.27419404543</v>
      </c>
      <c r="AB71" s="264">
        <v>214031.27419404543</v>
      </c>
      <c r="AC71" s="264">
        <v>214031.27419404543</v>
      </c>
      <c r="AD71" s="264">
        <v>214031.27419404543</v>
      </c>
      <c r="AE71" s="264">
        <v>214031.27419404543</v>
      </c>
      <c r="AF71" s="264">
        <v>214031.27419404543</v>
      </c>
      <c r="AG71" s="264">
        <v>214031.27419404543</v>
      </c>
      <c r="AH71" s="264">
        <v>214031.27419404543</v>
      </c>
      <c r="AI71" s="264">
        <v>214031.27419404543</v>
      </c>
      <c r="AJ71" s="264">
        <v>214031.27419404543</v>
      </c>
      <c r="AK71" s="264">
        <v>214031.27419404543</v>
      </c>
    </row>
    <row r="72" spans="2:37" ht="12" hidden="1" customHeight="1" outlineLevel="1">
      <c r="B72" s="271">
        <v>10</v>
      </c>
      <c r="C72" s="271">
        <v>11</v>
      </c>
      <c r="D72" s="271">
        <v>20</v>
      </c>
      <c r="E72" s="271">
        <v>20</v>
      </c>
      <c r="G72" s="272">
        <v>2354344.0161344996</v>
      </c>
      <c r="O72" s="264">
        <v>2354344.0161344996</v>
      </c>
      <c r="R72" s="264">
        <v>0</v>
      </c>
      <c r="S72" s="264">
        <v>0</v>
      </c>
      <c r="T72" s="264">
        <v>0</v>
      </c>
      <c r="U72" s="264">
        <v>0</v>
      </c>
      <c r="V72" s="264">
        <v>0</v>
      </c>
      <c r="W72" s="264">
        <v>0</v>
      </c>
      <c r="X72" s="264">
        <v>0</v>
      </c>
      <c r="Y72" s="264">
        <v>0</v>
      </c>
      <c r="Z72" s="264">
        <v>0</v>
      </c>
      <c r="AA72" s="264">
        <v>0</v>
      </c>
      <c r="AB72" s="264">
        <v>235434.40161344997</v>
      </c>
      <c r="AC72" s="264">
        <v>235434.40161344997</v>
      </c>
      <c r="AD72" s="264">
        <v>235434.40161344997</v>
      </c>
      <c r="AE72" s="264">
        <v>235434.40161344997</v>
      </c>
      <c r="AF72" s="264">
        <v>235434.40161344997</v>
      </c>
      <c r="AG72" s="264">
        <v>235434.40161344997</v>
      </c>
      <c r="AH72" s="264">
        <v>235434.40161344997</v>
      </c>
      <c r="AI72" s="264">
        <v>235434.40161344997</v>
      </c>
      <c r="AJ72" s="264">
        <v>235434.40161344997</v>
      </c>
      <c r="AK72" s="264">
        <v>235434.40161344997</v>
      </c>
    </row>
    <row r="73" spans="2:37" ht="12" hidden="1" customHeight="1" outlineLevel="1">
      <c r="B73" s="271">
        <v>11</v>
      </c>
      <c r="C73" s="271">
        <v>12</v>
      </c>
      <c r="D73" s="271">
        <v>20</v>
      </c>
      <c r="E73" s="271">
        <v>20</v>
      </c>
      <c r="G73" s="272">
        <v>2354344.0161344996</v>
      </c>
      <c r="O73" s="264">
        <v>2354344.0161344996</v>
      </c>
      <c r="R73" s="264">
        <v>0</v>
      </c>
      <c r="S73" s="264">
        <v>0</v>
      </c>
      <c r="T73" s="264">
        <v>0</v>
      </c>
      <c r="U73" s="264">
        <v>0</v>
      </c>
      <c r="V73" s="264">
        <v>0</v>
      </c>
      <c r="W73" s="264">
        <v>0</v>
      </c>
      <c r="X73" s="264">
        <v>0</v>
      </c>
      <c r="Y73" s="264">
        <v>0</v>
      </c>
      <c r="Z73" s="264">
        <v>0</v>
      </c>
      <c r="AA73" s="264">
        <v>0</v>
      </c>
      <c r="AB73" s="264">
        <v>0</v>
      </c>
      <c r="AC73" s="264">
        <v>261593.77957049996</v>
      </c>
      <c r="AD73" s="264">
        <v>261593.77957049996</v>
      </c>
      <c r="AE73" s="264">
        <v>261593.77957049996</v>
      </c>
      <c r="AF73" s="264">
        <v>261593.77957049996</v>
      </c>
      <c r="AG73" s="264">
        <v>261593.77957049996</v>
      </c>
      <c r="AH73" s="264">
        <v>261593.77957049996</v>
      </c>
      <c r="AI73" s="264">
        <v>261593.77957049996</v>
      </c>
      <c r="AJ73" s="264">
        <v>261593.77957049996</v>
      </c>
      <c r="AK73" s="264">
        <v>261593.77957049996</v>
      </c>
    </row>
    <row r="74" spans="2:37" ht="12" hidden="1" customHeight="1" outlineLevel="1">
      <c r="B74" s="271">
        <v>12</v>
      </c>
      <c r="C74" s="271">
        <v>13</v>
      </c>
      <c r="D74" s="271">
        <v>20</v>
      </c>
      <c r="E74" s="271">
        <v>20</v>
      </c>
      <c r="G74" s="272">
        <v>2420256.0961344996</v>
      </c>
      <c r="O74" s="264">
        <v>2420256.0961344992</v>
      </c>
      <c r="R74" s="264">
        <v>0</v>
      </c>
      <c r="S74" s="264">
        <v>0</v>
      </c>
      <c r="T74" s="264">
        <v>0</v>
      </c>
      <c r="U74" s="264">
        <v>0</v>
      </c>
      <c r="V74" s="264">
        <v>0</v>
      </c>
      <c r="W74" s="264">
        <v>0</v>
      </c>
      <c r="X74" s="264">
        <v>0</v>
      </c>
      <c r="Y74" s="264">
        <v>0</v>
      </c>
      <c r="Z74" s="264">
        <v>0</v>
      </c>
      <c r="AA74" s="264">
        <v>0</v>
      </c>
      <c r="AB74" s="264">
        <v>0</v>
      </c>
      <c r="AC74" s="264">
        <v>0</v>
      </c>
      <c r="AD74" s="264">
        <v>302532.01201681246</v>
      </c>
      <c r="AE74" s="264">
        <v>302532.01201681246</v>
      </c>
      <c r="AF74" s="264">
        <v>302532.01201681246</v>
      </c>
      <c r="AG74" s="264">
        <v>302532.01201681246</v>
      </c>
      <c r="AH74" s="264">
        <v>302532.01201681246</v>
      </c>
      <c r="AI74" s="264">
        <v>302532.01201681246</v>
      </c>
      <c r="AJ74" s="264">
        <v>302532.01201681246</v>
      </c>
      <c r="AK74" s="264">
        <v>302532.01201681246</v>
      </c>
    </row>
    <row r="75" spans="2:37" ht="12" hidden="1" customHeight="1" outlineLevel="1">
      <c r="B75" s="271">
        <v>13</v>
      </c>
      <c r="C75" s="271">
        <v>14</v>
      </c>
      <c r="D75" s="271">
        <v>20</v>
      </c>
      <c r="E75" s="271">
        <v>20</v>
      </c>
      <c r="G75" s="272">
        <v>2354344.0161344996</v>
      </c>
      <c r="O75" s="264">
        <v>2354344.0161344996</v>
      </c>
      <c r="R75" s="264">
        <v>0</v>
      </c>
      <c r="S75" s="264">
        <v>0</v>
      </c>
      <c r="T75" s="264">
        <v>0</v>
      </c>
      <c r="U75" s="264">
        <v>0</v>
      </c>
      <c r="V75" s="264">
        <v>0</v>
      </c>
      <c r="W75" s="264">
        <v>0</v>
      </c>
      <c r="X75" s="264">
        <v>0</v>
      </c>
      <c r="Y75" s="264">
        <v>0</v>
      </c>
      <c r="Z75" s="264">
        <v>0</v>
      </c>
      <c r="AA75" s="264">
        <v>0</v>
      </c>
      <c r="AB75" s="264">
        <v>0</v>
      </c>
      <c r="AC75" s="264">
        <v>0</v>
      </c>
      <c r="AD75" s="264">
        <v>0</v>
      </c>
      <c r="AE75" s="264">
        <v>336334.85944778565</v>
      </c>
      <c r="AF75" s="264">
        <v>336334.85944778565</v>
      </c>
      <c r="AG75" s="264">
        <v>336334.85944778565</v>
      </c>
      <c r="AH75" s="264">
        <v>336334.85944778565</v>
      </c>
      <c r="AI75" s="264">
        <v>336334.85944778565</v>
      </c>
      <c r="AJ75" s="264">
        <v>336334.85944778565</v>
      </c>
      <c r="AK75" s="264">
        <v>336334.85944778565</v>
      </c>
    </row>
    <row r="76" spans="2:37" ht="12" hidden="1" customHeight="1" outlineLevel="1">
      <c r="B76" s="271">
        <v>14</v>
      </c>
      <c r="C76" s="271">
        <v>15</v>
      </c>
      <c r="D76" s="271">
        <v>20</v>
      </c>
      <c r="E76" s="271">
        <v>20</v>
      </c>
      <c r="G76" s="272">
        <v>2354344.0161344996</v>
      </c>
      <c r="O76" s="264">
        <v>2354344.0161344996</v>
      </c>
      <c r="R76" s="264">
        <v>0</v>
      </c>
      <c r="S76" s="264">
        <v>0</v>
      </c>
      <c r="T76" s="264">
        <v>0</v>
      </c>
      <c r="U76" s="264">
        <v>0</v>
      </c>
      <c r="V76" s="264">
        <v>0</v>
      </c>
      <c r="W76" s="264">
        <v>0</v>
      </c>
      <c r="X76" s="264">
        <v>0</v>
      </c>
      <c r="Y76" s="264">
        <v>0</v>
      </c>
      <c r="Z76" s="264">
        <v>0</v>
      </c>
      <c r="AA76" s="264">
        <v>0</v>
      </c>
      <c r="AB76" s="264">
        <v>0</v>
      </c>
      <c r="AC76" s="264">
        <v>0</v>
      </c>
      <c r="AD76" s="264">
        <v>0</v>
      </c>
      <c r="AE76" s="264">
        <v>0</v>
      </c>
      <c r="AF76" s="264">
        <v>392390.66935574991</v>
      </c>
      <c r="AG76" s="264">
        <v>392390.66935574991</v>
      </c>
      <c r="AH76" s="264">
        <v>392390.66935574991</v>
      </c>
      <c r="AI76" s="264">
        <v>392390.66935574991</v>
      </c>
      <c r="AJ76" s="264">
        <v>392390.66935574991</v>
      </c>
      <c r="AK76" s="264">
        <v>392390.66935574991</v>
      </c>
    </row>
    <row r="77" spans="2:37" ht="12" hidden="1" customHeight="1" outlineLevel="1">
      <c r="B77" s="271">
        <v>15</v>
      </c>
      <c r="C77" s="271">
        <v>16</v>
      </c>
      <c r="D77" s="271">
        <v>20</v>
      </c>
      <c r="E77" s="271">
        <v>20</v>
      </c>
      <c r="G77" s="272">
        <v>2354344.0161344996</v>
      </c>
      <c r="O77" s="264">
        <v>2354344.0161344996</v>
      </c>
      <c r="R77" s="264">
        <v>0</v>
      </c>
      <c r="S77" s="264">
        <v>0</v>
      </c>
      <c r="T77" s="264">
        <v>0</v>
      </c>
      <c r="U77" s="264">
        <v>0</v>
      </c>
      <c r="V77" s="264">
        <v>0</v>
      </c>
      <c r="W77" s="264">
        <v>0</v>
      </c>
      <c r="X77" s="264">
        <v>0</v>
      </c>
      <c r="Y77" s="264">
        <v>0</v>
      </c>
      <c r="Z77" s="264">
        <v>0</v>
      </c>
      <c r="AA77" s="264">
        <v>0</v>
      </c>
      <c r="AB77" s="264">
        <v>0</v>
      </c>
      <c r="AC77" s="264">
        <v>0</v>
      </c>
      <c r="AD77" s="264">
        <v>0</v>
      </c>
      <c r="AE77" s="264">
        <v>0</v>
      </c>
      <c r="AF77" s="264">
        <v>0</v>
      </c>
      <c r="AG77" s="264">
        <v>470868.80322689994</v>
      </c>
      <c r="AH77" s="264">
        <v>470868.80322689994</v>
      </c>
      <c r="AI77" s="264">
        <v>470868.80322689994</v>
      </c>
      <c r="AJ77" s="264">
        <v>470868.80322689994</v>
      </c>
      <c r="AK77" s="264">
        <v>470868.80322689994</v>
      </c>
    </row>
    <row r="78" spans="2:37" ht="12" hidden="1" customHeight="1" outlineLevel="1">
      <c r="B78" s="271">
        <v>16</v>
      </c>
      <c r="C78" s="271">
        <v>17</v>
      </c>
      <c r="D78" s="271">
        <v>20</v>
      </c>
      <c r="E78" s="271">
        <v>20</v>
      </c>
      <c r="G78" s="272">
        <v>2354344.0161344996</v>
      </c>
      <c r="O78" s="264">
        <v>2354344.0161344996</v>
      </c>
      <c r="R78" s="264">
        <v>0</v>
      </c>
      <c r="S78" s="264">
        <v>0</v>
      </c>
      <c r="T78" s="264">
        <v>0</v>
      </c>
      <c r="U78" s="264">
        <v>0</v>
      </c>
      <c r="V78" s="264">
        <v>0</v>
      </c>
      <c r="W78" s="264">
        <v>0</v>
      </c>
      <c r="X78" s="264">
        <v>0</v>
      </c>
      <c r="Y78" s="264">
        <v>0</v>
      </c>
      <c r="Z78" s="264">
        <v>0</v>
      </c>
      <c r="AA78" s="264">
        <v>0</v>
      </c>
      <c r="AB78" s="264">
        <v>0</v>
      </c>
      <c r="AC78" s="264">
        <v>0</v>
      </c>
      <c r="AD78" s="264">
        <v>0</v>
      </c>
      <c r="AE78" s="264">
        <v>0</v>
      </c>
      <c r="AF78" s="264">
        <v>0</v>
      </c>
      <c r="AG78" s="264">
        <v>0</v>
      </c>
      <c r="AH78" s="264">
        <v>588586.00403362489</v>
      </c>
      <c r="AI78" s="264">
        <v>588586.00403362489</v>
      </c>
      <c r="AJ78" s="264">
        <v>588586.00403362489</v>
      </c>
      <c r="AK78" s="264">
        <v>588586.00403362489</v>
      </c>
    </row>
    <row r="79" spans="2:37" ht="12" hidden="1" customHeight="1" outlineLevel="1">
      <c r="B79" s="271">
        <v>17</v>
      </c>
      <c r="C79" s="271">
        <v>18</v>
      </c>
      <c r="D79" s="271">
        <v>20</v>
      </c>
      <c r="E79" s="271">
        <v>20</v>
      </c>
      <c r="G79" s="272">
        <v>2420256.0961344996</v>
      </c>
      <c r="O79" s="264">
        <v>2420256.0961344996</v>
      </c>
      <c r="R79" s="264">
        <v>0</v>
      </c>
      <c r="S79" s="264">
        <v>0</v>
      </c>
      <c r="T79" s="264">
        <v>0</v>
      </c>
      <c r="U79" s="264">
        <v>0</v>
      </c>
      <c r="V79" s="264">
        <v>0</v>
      </c>
      <c r="W79" s="264">
        <v>0</v>
      </c>
      <c r="X79" s="264">
        <v>0</v>
      </c>
      <c r="Y79" s="264">
        <v>0</v>
      </c>
      <c r="Z79" s="264">
        <v>0</v>
      </c>
      <c r="AA79" s="264">
        <v>0</v>
      </c>
      <c r="AB79" s="264">
        <v>0</v>
      </c>
      <c r="AC79" s="264">
        <v>0</v>
      </c>
      <c r="AD79" s="264">
        <v>0</v>
      </c>
      <c r="AE79" s="264">
        <v>0</v>
      </c>
      <c r="AF79" s="264">
        <v>0</v>
      </c>
      <c r="AG79" s="264">
        <v>0</v>
      </c>
      <c r="AH79" s="264">
        <v>0</v>
      </c>
      <c r="AI79" s="264">
        <v>806752.03204483318</v>
      </c>
      <c r="AJ79" s="264">
        <v>806752.03204483318</v>
      </c>
      <c r="AK79" s="264">
        <v>806752.03204483318</v>
      </c>
    </row>
    <row r="80" spans="2:37" ht="12" hidden="1" customHeight="1" outlineLevel="1">
      <c r="B80" s="271">
        <v>18</v>
      </c>
      <c r="C80" s="271">
        <v>19</v>
      </c>
      <c r="D80" s="271">
        <v>20</v>
      </c>
      <c r="E80" s="271">
        <v>20</v>
      </c>
      <c r="G80" s="272">
        <v>2354344.0161344996</v>
      </c>
      <c r="O80" s="264">
        <v>2354344.0161344996</v>
      </c>
      <c r="R80" s="264">
        <v>0</v>
      </c>
      <c r="S80" s="264">
        <v>0</v>
      </c>
      <c r="T80" s="264">
        <v>0</v>
      </c>
      <c r="U80" s="264">
        <v>0</v>
      </c>
      <c r="V80" s="264">
        <v>0</v>
      </c>
      <c r="W80" s="264">
        <v>0</v>
      </c>
      <c r="X80" s="264">
        <v>0</v>
      </c>
      <c r="Y80" s="264">
        <v>0</v>
      </c>
      <c r="Z80" s="264">
        <v>0</v>
      </c>
      <c r="AA80" s="264">
        <v>0</v>
      </c>
      <c r="AB80" s="264">
        <v>0</v>
      </c>
      <c r="AC80" s="264">
        <v>0</v>
      </c>
      <c r="AD80" s="264">
        <v>0</v>
      </c>
      <c r="AE80" s="264">
        <v>0</v>
      </c>
      <c r="AF80" s="264">
        <v>0</v>
      </c>
      <c r="AG80" s="264">
        <v>0</v>
      </c>
      <c r="AH80" s="264">
        <v>0</v>
      </c>
      <c r="AI80" s="264">
        <v>0</v>
      </c>
      <c r="AJ80" s="264">
        <v>1177172.0080672498</v>
      </c>
      <c r="AK80" s="264">
        <v>1177172.0080672498</v>
      </c>
    </row>
    <row r="81" spans="2:37" ht="12" hidden="1" customHeight="1" outlineLevel="1">
      <c r="B81" s="271">
        <v>19</v>
      </c>
      <c r="C81" s="271">
        <v>20</v>
      </c>
      <c r="D81" s="271">
        <v>20</v>
      </c>
      <c r="E81" s="271">
        <v>20</v>
      </c>
      <c r="G81" s="272">
        <v>2354344.0161344996</v>
      </c>
      <c r="O81" s="264">
        <v>2354344.0161344996</v>
      </c>
      <c r="R81" s="264">
        <v>0</v>
      </c>
      <c r="S81" s="264">
        <v>0</v>
      </c>
      <c r="T81" s="264">
        <v>0</v>
      </c>
      <c r="U81" s="264">
        <v>0</v>
      </c>
      <c r="V81" s="264">
        <v>0</v>
      </c>
      <c r="W81" s="264">
        <v>0</v>
      </c>
      <c r="X81" s="264">
        <v>0</v>
      </c>
      <c r="Y81" s="264">
        <v>0</v>
      </c>
      <c r="Z81" s="264">
        <v>0</v>
      </c>
      <c r="AA81" s="264">
        <v>0</v>
      </c>
      <c r="AB81" s="264">
        <v>0</v>
      </c>
      <c r="AC81" s="264">
        <v>0</v>
      </c>
      <c r="AD81" s="264">
        <v>0</v>
      </c>
      <c r="AE81" s="264">
        <v>0</v>
      </c>
      <c r="AF81" s="264">
        <v>0</v>
      </c>
      <c r="AG81" s="264">
        <v>0</v>
      </c>
      <c r="AH81" s="264">
        <v>0</v>
      </c>
      <c r="AI81" s="264">
        <v>0</v>
      </c>
      <c r="AJ81" s="264">
        <v>0</v>
      </c>
      <c r="AK81" s="264">
        <v>2354344.0161344996</v>
      </c>
    </row>
    <row r="82" spans="2:37" ht="12" hidden="1" customHeight="1" outlineLevel="1">
      <c r="B82" s="271">
        <v>20</v>
      </c>
      <c r="C82" s="271">
        <v>21</v>
      </c>
      <c r="D82" s="271">
        <v>20</v>
      </c>
      <c r="E82" s="271">
        <v>20</v>
      </c>
      <c r="G82" s="272">
        <v>2354344.0161344996</v>
      </c>
      <c r="O82" s="264">
        <v>0</v>
      </c>
      <c r="R82" s="264">
        <v>0</v>
      </c>
      <c r="S82" s="264">
        <v>0</v>
      </c>
      <c r="T82" s="264">
        <v>0</v>
      </c>
      <c r="U82" s="264">
        <v>0</v>
      </c>
      <c r="V82" s="264">
        <v>0</v>
      </c>
      <c r="W82" s="264">
        <v>0</v>
      </c>
      <c r="X82" s="264">
        <v>0</v>
      </c>
      <c r="Y82" s="264">
        <v>0</v>
      </c>
      <c r="Z82" s="264">
        <v>0</v>
      </c>
      <c r="AA82" s="264">
        <v>0</v>
      </c>
      <c r="AB82" s="264">
        <v>0</v>
      </c>
      <c r="AC82" s="264">
        <v>0</v>
      </c>
      <c r="AD82" s="264">
        <v>0</v>
      </c>
      <c r="AE82" s="264">
        <v>0</v>
      </c>
      <c r="AF82" s="264">
        <v>0</v>
      </c>
      <c r="AG82" s="264">
        <v>0</v>
      </c>
      <c r="AH82" s="264">
        <v>0</v>
      </c>
      <c r="AI82" s="264">
        <v>0</v>
      </c>
      <c r="AJ82" s="264">
        <v>0</v>
      </c>
      <c r="AK82" s="264">
        <v>0</v>
      </c>
    </row>
    <row r="83" spans="2:37" ht="12" hidden="1" customHeight="1" outlineLevel="1">
      <c r="B83" s="271">
        <v>21</v>
      </c>
      <c r="C83" s="271">
        <v>22</v>
      </c>
      <c r="D83" s="271">
        <v>20</v>
      </c>
      <c r="E83" s="271">
        <v>20</v>
      </c>
      <c r="G83" s="272">
        <v>0</v>
      </c>
      <c r="O83" s="264">
        <v>0</v>
      </c>
      <c r="R83" s="264">
        <v>0</v>
      </c>
      <c r="S83" s="264">
        <v>0</v>
      </c>
      <c r="T83" s="264">
        <v>0</v>
      </c>
      <c r="U83" s="264">
        <v>0</v>
      </c>
      <c r="V83" s="264">
        <v>0</v>
      </c>
      <c r="W83" s="264">
        <v>0</v>
      </c>
      <c r="X83" s="264">
        <v>0</v>
      </c>
      <c r="Y83" s="264">
        <v>0</v>
      </c>
      <c r="Z83" s="264">
        <v>0</v>
      </c>
      <c r="AA83" s="264">
        <v>0</v>
      </c>
      <c r="AB83" s="264">
        <v>0</v>
      </c>
      <c r="AC83" s="264">
        <v>0</v>
      </c>
      <c r="AD83" s="264">
        <v>0</v>
      </c>
      <c r="AE83" s="264">
        <v>0</v>
      </c>
      <c r="AF83" s="264">
        <v>0</v>
      </c>
      <c r="AG83" s="264">
        <v>0</v>
      </c>
      <c r="AH83" s="264">
        <v>0</v>
      </c>
      <c r="AI83" s="264">
        <v>0</v>
      </c>
      <c r="AJ83" s="264">
        <v>0</v>
      </c>
      <c r="AK83" s="264">
        <v>0</v>
      </c>
    </row>
    <row r="84" spans="2:37" ht="12" hidden="1" customHeight="1" outlineLevel="1">
      <c r="B84" s="271">
        <v>22</v>
      </c>
      <c r="C84" s="271">
        <v>23</v>
      </c>
      <c r="D84" s="271">
        <v>20</v>
      </c>
      <c r="E84" s="271">
        <v>20</v>
      </c>
      <c r="G84" s="272">
        <v>0</v>
      </c>
      <c r="O84" s="264">
        <v>0</v>
      </c>
      <c r="R84" s="264">
        <v>0</v>
      </c>
      <c r="S84" s="264">
        <v>0</v>
      </c>
      <c r="T84" s="264">
        <v>0</v>
      </c>
      <c r="U84" s="264">
        <v>0</v>
      </c>
      <c r="V84" s="264">
        <v>0</v>
      </c>
      <c r="W84" s="264">
        <v>0</v>
      </c>
      <c r="X84" s="264">
        <v>0</v>
      </c>
      <c r="Y84" s="264">
        <v>0</v>
      </c>
      <c r="Z84" s="264">
        <v>0</v>
      </c>
      <c r="AA84" s="264">
        <v>0</v>
      </c>
      <c r="AB84" s="264">
        <v>0</v>
      </c>
      <c r="AC84" s="264">
        <v>0</v>
      </c>
      <c r="AD84" s="264">
        <v>0</v>
      </c>
      <c r="AE84" s="264">
        <v>0</v>
      </c>
      <c r="AF84" s="264">
        <v>0</v>
      </c>
      <c r="AG84" s="264">
        <v>0</v>
      </c>
      <c r="AH84" s="264">
        <v>0</v>
      </c>
      <c r="AI84" s="264">
        <v>0</v>
      </c>
      <c r="AJ84" s="264">
        <v>0</v>
      </c>
      <c r="AK84" s="264">
        <v>0</v>
      </c>
    </row>
    <row r="85" spans="2:37" ht="12" hidden="1" customHeight="1" outlineLevel="1">
      <c r="B85" s="271">
        <v>23</v>
      </c>
      <c r="C85" s="271">
        <v>24</v>
      </c>
      <c r="D85" s="271">
        <v>20</v>
      </c>
      <c r="E85" s="271">
        <v>20</v>
      </c>
      <c r="G85" s="272">
        <v>0</v>
      </c>
      <c r="O85" s="264">
        <v>0</v>
      </c>
      <c r="R85" s="264">
        <v>0</v>
      </c>
      <c r="S85" s="264">
        <v>0</v>
      </c>
      <c r="T85" s="264">
        <v>0</v>
      </c>
      <c r="U85" s="264">
        <v>0</v>
      </c>
      <c r="V85" s="264">
        <v>0</v>
      </c>
      <c r="W85" s="264">
        <v>0</v>
      </c>
      <c r="X85" s="264">
        <v>0</v>
      </c>
      <c r="Y85" s="264">
        <v>0</v>
      </c>
      <c r="Z85" s="264">
        <v>0</v>
      </c>
      <c r="AA85" s="264">
        <v>0</v>
      </c>
      <c r="AB85" s="264">
        <v>0</v>
      </c>
      <c r="AC85" s="264">
        <v>0</v>
      </c>
      <c r="AD85" s="264">
        <v>0</v>
      </c>
      <c r="AE85" s="264">
        <v>0</v>
      </c>
      <c r="AF85" s="264">
        <v>0</v>
      </c>
      <c r="AG85" s="264">
        <v>0</v>
      </c>
      <c r="AH85" s="264">
        <v>0</v>
      </c>
      <c r="AI85" s="264">
        <v>0</v>
      </c>
      <c r="AJ85" s="264">
        <v>0</v>
      </c>
      <c r="AK85" s="264">
        <v>0</v>
      </c>
    </row>
    <row r="86" spans="2:37" ht="12" hidden="1" customHeight="1" outlineLevel="1">
      <c r="B86" s="271">
        <v>24</v>
      </c>
      <c r="C86" s="271">
        <v>25</v>
      </c>
      <c r="D86" s="271">
        <v>20</v>
      </c>
      <c r="E86" s="271">
        <v>20</v>
      </c>
      <c r="G86" s="272">
        <v>0</v>
      </c>
      <c r="O86" s="264">
        <v>0</v>
      </c>
      <c r="R86" s="264">
        <v>0</v>
      </c>
      <c r="S86" s="264">
        <v>0</v>
      </c>
      <c r="T86" s="264">
        <v>0</v>
      </c>
      <c r="U86" s="264">
        <v>0</v>
      </c>
      <c r="V86" s="264">
        <v>0</v>
      </c>
      <c r="W86" s="264">
        <v>0</v>
      </c>
      <c r="X86" s="264">
        <v>0</v>
      </c>
      <c r="Y86" s="264">
        <v>0</v>
      </c>
      <c r="Z86" s="264">
        <v>0</v>
      </c>
      <c r="AA86" s="264">
        <v>0</v>
      </c>
      <c r="AB86" s="264">
        <v>0</v>
      </c>
      <c r="AC86" s="264">
        <v>0</v>
      </c>
      <c r="AD86" s="264">
        <v>0</v>
      </c>
      <c r="AE86" s="264">
        <v>0</v>
      </c>
      <c r="AF86" s="264">
        <v>0</v>
      </c>
      <c r="AG86" s="264">
        <v>0</v>
      </c>
      <c r="AH86" s="264">
        <v>0</v>
      </c>
      <c r="AI86" s="264">
        <v>0</v>
      </c>
      <c r="AJ86" s="264">
        <v>0</v>
      </c>
      <c r="AK86" s="264">
        <v>0</v>
      </c>
    </row>
    <row r="87" spans="2:37" ht="12" hidden="1" customHeight="1" outlineLevel="1">
      <c r="B87" s="271">
        <v>25</v>
      </c>
      <c r="C87" s="271">
        <v>26</v>
      </c>
      <c r="D87" s="271">
        <v>20</v>
      </c>
      <c r="E87" s="271">
        <v>20</v>
      </c>
      <c r="G87" s="272">
        <v>0</v>
      </c>
      <c r="O87" s="264">
        <v>0</v>
      </c>
      <c r="R87" s="264">
        <v>0</v>
      </c>
      <c r="S87" s="264">
        <v>0</v>
      </c>
      <c r="T87" s="264">
        <v>0</v>
      </c>
      <c r="U87" s="264">
        <v>0</v>
      </c>
      <c r="V87" s="264">
        <v>0</v>
      </c>
      <c r="W87" s="264">
        <v>0</v>
      </c>
      <c r="X87" s="264">
        <v>0</v>
      </c>
      <c r="Y87" s="264">
        <v>0</v>
      </c>
      <c r="Z87" s="264">
        <v>0</v>
      </c>
      <c r="AA87" s="264">
        <v>0</v>
      </c>
      <c r="AB87" s="264">
        <v>0</v>
      </c>
      <c r="AC87" s="264">
        <v>0</v>
      </c>
      <c r="AD87" s="264">
        <v>0</v>
      </c>
      <c r="AE87" s="264">
        <v>0</v>
      </c>
      <c r="AF87" s="264">
        <v>0</v>
      </c>
      <c r="AG87" s="264">
        <v>0</v>
      </c>
      <c r="AH87" s="264">
        <v>0</v>
      </c>
      <c r="AI87" s="264">
        <v>0</v>
      </c>
      <c r="AJ87" s="264">
        <v>0</v>
      </c>
      <c r="AK87" s="264">
        <v>0</v>
      </c>
    </row>
    <row r="88" spans="2:37" ht="12" hidden="1" customHeight="1" outlineLevel="1">
      <c r="B88" s="271">
        <v>26</v>
      </c>
      <c r="C88" s="271">
        <v>27</v>
      </c>
      <c r="D88" s="271">
        <v>20</v>
      </c>
      <c r="E88" s="271">
        <v>20</v>
      </c>
      <c r="G88" s="272">
        <v>0</v>
      </c>
      <c r="O88" s="264">
        <v>0</v>
      </c>
      <c r="R88" s="264">
        <v>0</v>
      </c>
      <c r="S88" s="264">
        <v>0</v>
      </c>
      <c r="T88" s="264">
        <v>0</v>
      </c>
      <c r="U88" s="264">
        <v>0</v>
      </c>
      <c r="V88" s="264">
        <v>0</v>
      </c>
      <c r="W88" s="264">
        <v>0</v>
      </c>
      <c r="X88" s="264">
        <v>0</v>
      </c>
      <c r="Y88" s="264">
        <v>0</v>
      </c>
      <c r="Z88" s="264">
        <v>0</v>
      </c>
      <c r="AA88" s="264">
        <v>0</v>
      </c>
      <c r="AB88" s="264">
        <v>0</v>
      </c>
      <c r="AC88" s="264">
        <v>0</v>
      </c>
      <c r="AD88" s="264">
        <v>0</v>
      </c>
      <c r="AE88" s="264">
        <v>0</v>
      </c>
      <c r="AF88" s="264">
        <v>0</v>
      </c>
      <c r="AG88" s="264">
        <v>0</v>
      </c>
      <c r="AH88" s="264">
        <v>0</v>
      </c>
      <c r="AI88" s="264">
        <v>0</v>
      </c>
      <c r="AJ88" s="264">
        <v>0</v>
      </c>
      <c r="AK88" s="264">
        <v>0</v>
      </c>
    </row>
    <row r="89" spans="2:37" ht="12" hidden="1" customHeight="1" outlineLevel="1">
      <c r="B89" s="271">
        <v>27</v>
      </c>
      <c r="C89" s="271">
        <v>28</v>
      </c>
      <c r="D89" s="271">
        <v>20</v>
      </c>
      <c r="E89" s="271">
        <v>20</v>
      </c>
      <c r="G89" s="272">
        <v>0</v>
      </c>
      <c r="O89" s="264">
        <v>0</v>
      </c>
      <c r="R89" s="264">
        <v>0</v>
      </c>
      <c r="S89" s="264">
        <v>0</v>
      </c>
      <c r="T89" s="264">
        <v>0</v>
      </c>
      <c r="U89" s="264">
        <v>0</v>
      </c>
      <c r="V89" s="264">
        <v>0</v>
      </c>
      <c r="W89" s="264">
        <v>0</v>
      </c>
      <c r="X89" s="264">
        <v>0</v>
      </c>
      <c r="Y89" s="264">
        <v>0</v>
      </c>
      <c r="Z89" s="264">
        <v>0</v>
      </c>
      <c r="AA89" s="264">
        <v>0</v>
      </c>
      <c r="AB89" s="264">
        <v>0</v>
      </c>
      <c r="AC89" s="264">
        <v>0</v>
      </c>
      <c r="AD89" s="264">
        <v>0</v>
      </c>
      <c r="AE89" s="264">
        <v>0</v>
      </c>
      <c r="AF89" s="264">
        <v>0</v>
      </c>
      <c r="AG89" s="264">
        <v>0</v>
      </c>
      <c r="AH89" s="264">
        <v>0</v>
      </c>
      <c r="AI89" s="264">
        <v>0</v>
      </c>
      <c r="AJ89" s="264">
        <v>0</v>
      </c>
      <c r="AK89" s="264">
        <v>0</v>
      </c>
    </row>
    <row r="90" spans="2:37" ht="12" hidden="1" customHeight="1" outlineLevel="1">
      <c r="B90" s="271">
        <v>28</v>
      </c>
      <c r="C90" s="271">
        <v>29</v>
      </c>
      <c r="D90" s="271">
        <v>20</v>
      </c>
      <c r="E90" s="271">
        <v>20</v>
      </c>
      <c r="G90" s="272">
        <v>0</v>
      </c>
      <c r="O90" s="264">
        <v>0</v>
      </c>
      <c r="R90" s="264">
        <v>0</v>
      </c>
      <c r="S90" s="264">
        <v>0</v>
      </c>
      <c r="T90" s="264">
        <v>0</v>
      </c>
      <c r="U90" s="264">
        <v>0</v>
      </c>
      <c r="V90" s="264">
        <v>0</v>
      </c>
      <c r="W90" s="264">
        <v>0</v>
      </c>
      <c r="X90" s="264">
        <v>0</v>
      </c>
      <c r="Y90" s="264">
        <v>0</v>
      </c>
      <c r="Z90" s="264">
        <v>0</v>
      </c>
      <c r="AA90" s="264">
        <v>0</v>
      </c>
      <c r="AB90" s="264">
        <v>0</v>
      </c>
      <c r="AC90" s="264">
        <v>0</v>
      </c>
      <c r="AD90" s="264">
        <v>0</v>
      </c>
      <c r="AE90" s="264">
        <v>0</v>
      </c>
      <c r="AF90" s="264">
        <v>0</v>
      </c>
      <c r="AG90" s="264">
        <v>0</v>
      </c>
      <c r="AH90" s="264">
        <v>0</v>
      </c>
      <c r="AI90" s="264">
        <v>0</v>
      </c>
      <c r="AJ90" s="264">
        <v>0</v>
      </c>
      <c r="AK90" s="264">
        <v>0</v>
      </c>
    </row>
    <row r="91" spans="2:37" ht="12" hidden="1" customHeight="1" outlineLevel="1">
      <c r="B91" s="271">
        <v>29</v>
      </c>
      <c r="C91" s="271">
        <v>30</v>
      </c>
      <c r="D91" s="271">
        <v>20</v>
      </c>
      <c r="E91" s="271">
        <v>20</v>
      </c>
      <c r="G91" s="272">
        <v>0</v>
      </c>
      <c r="O91" s="264">
        <v>0</v>
      </c>
      <c r="R91" s="264">
        <v>0</v>
      </c>
      <c r="S91" s="264">
        <v>0</v>
      </c>
      <c r="T91" s="264">
        <v>0</v>
      </c>
      <c r="U91" s="264">
        <v>0</v>
      </c>
      <c r="V91" s="264">
        <v>0</v>
      </c>
      <c r="W91" s="264">
        <v>0</v>
      </c>
      <c r="X91" s="264">
        <v>0</v>
      </c>
      <c r="Y91" s="264">
        <v>0</v>
      </c>
      <c r="Z91" s="264">
        <v>0</v>
      </c>
      <c r="AA91" s="264">
        <v>0</v>
      </c>
      <c r="AB91" s="264">
        <v>0</v>
      </c>
      <c r="AC91" s="264">
        <v>0</v>
      </c>
      <c r="AD91" s="264">
        <v>0</v>
      </c>
      <c r="AE91" s="264">
        <v>0</v>
      </c>
      <c r="AF91" s="264">
        <v>0</v>
      </c>
      <c r="AG91" s="264">
        <v>0</v>
      </c>
      <c r="AH91" s="264">
        <v>0</v>
      </c>
      <c r="AI91" s="264">
        <v>0</v>
      </c>
      <c r="AJ91" s="264">
        <v>0</v>
      </c>
      <c r="AK91" s="264">
        <v>0</v>
      </c>
    </row>
    <row r="92" spans="2:37" ht="12" hidden="1" customHeight="1" outlineLevel="1">
      <c r="B92" s="271">
        <v>30</v>
      </c>
      <c r="C92" s="271">
        <v>30</v>
      </c>
      <c r="D92" s="271">
        <v>20</v>
      </c>
      <c r="E92" s="271">
        <v>20</v>
      </c>
      <c r="G92" s="272">
        <v>0</v>
      </c>
      <c r="O92" s="264">
        <v>0</v>
      </c>
      <c r="R92" s="264">
        <v>0</v>
      </c>
      <c r="S92" s="264">
        <v>0</v>
      </c>
      <c r="T92" s="264">
        <v>0</v>
      </c>
      <c r="U92" s="264">
        <v>0</v>
      </c>
      <c r="V92" s="264">
        <v>0</v>
      </c>
      <c r="W92" s="264">
        <v>0</v>
      </c>
      <c r="X92" s="264">
        <v>0</v>
      </c>
      <c r="Y92" s="264">
        <v>0</v>
      </c>
      <c r="Z92" s="264">
        <v>0</v>
      </c>
      <c r="AA92" s="264">
        <v>0</v>
      </c>
      <c r="AB92" s="264">
        <v>0</v>
      </c>
      <c r="AC92" s="264">
        <v>0</v>
      </c>
      <c r="AD92" s="264">
        <v>0</v>
      </c>
      <c r="AE92" s="264">
        <v>0</v>
      </c>
      <c r="AF92" s="264">
        <v>0</v>
      </c>
      <c r="AG92" s="264">
        <v>0</v>
      </c>
      <c r="AH92" s="264">
        <v>0</v>
      </c>
      <c r="AI92" s="264">
        <v>0</v>
      </c>
      <c r="AJ92" s="264">
        <v>0</v>
      </c>
      <c r="AK92" s="264">
        <v>0</v>
      </c>
    </row>
    <row r="93" spans="2:37" ht="12" customHeight="1" collapsed="1">
      <c r="B93" s="271"/>
      <c r="C93" s="271"/>
      <c r="D93" s="271"/>
      <c r="E93" s="271"/>
      <c r="G93" s="272"/>
      <c r="O93" s="264"/>
      <c r="R93" s="264"/>
      <c r="S93" s="264"/>
      <c r="T93" s="264"/>
      <c r="U93" s="264"/>
      <c r="V93" s="264"/>
      <c r="W93" s="264"/>
      <c r="X93" s="264"/>
      <c r="Y93" s="264"/>
      <c r="Z93" s="264"/>
      <c r="AA93" s="264"/>
      <c r="AB93" s="264"/>
      <c r="AC93" s="264"/>
      <c r="AD93" s="264"/>
      <c r="AE93" s="264"/>
      <c r="AF93" s="264"/>
      <c r="AG93" s="264"/>
      <c r="AH93" s="264"/>
      <c r="AI93" s="264"/>
      <c r="AJ93" s="264"/>
      <c r="AK93" s="264"/>
    </row>
    <row r="94" spans="2:37" s="246" customFormat="1" ht="12" customHeight="1">
      <c r="B94" s="269" t="s">
        <v>1</v>
      </c>
      <c r="C94" s="246" t="s">
        <v>237</v>
      </c>
      <c r="G94" s="247">
        <v>30</v>
      </c>
      <c r="H94" s="246" t="s">
        <v>244</v>
      </c>
      <c r="M94" s="252"/>
      <c r="O94" s="270">
        <v>0</v>
      </c>
      <c r="R94" s="270">
        <v>0</v>
      </c>
      <c r="S94" s="270">
        <v>0</v>
      </c>
      <c r="T94" s="270">
        <v>0</v>
      </c>
      <c r="U94" s="270">
        <v>0</v>
      </c>
      <c r="V94" s="270">
        <v>0</v>
      </c>
      <c r="W94" s="270">
        <v>0</v>
      </c>
      <c r="X94" s="270">
        <v>0</v>
      </c>
      <c r="Y94" s="270">
        <v>0</v>
      </c>
      <c r="Z94" s="270">
        <v>0</v>
      </c>
      <c r="AA94" s="270">
        <v>0</v>
      </c>
      <c r="AB94" s="270">
        <v>0</v>
      </c>
      <c r="AC94" s="270">
        <v>0</v>
      </c>
      <c r="AD94" s="270">
        <v>0</v>
      </c>
      <c r="AE94" s="270">
        <v>0</v>
      </c>
      <c r="AF94" s="270">
        <v>0</v>
      </c>
      <c r="AG94" s="270">
        <v>0</v>
      </c>
      <c r="AH94" s="270">
        <v>0</v>
      </c>
      <c r="AI94" s="270">
        <v>0</v>
      </c>
      <c r="AJ94" s="270">
        <v>0</v>
      </c>
      <c r="AK94" s="270">
        <v>0</v>
      </c>
    </row>
    <row r="95" spans="2:37" s="246" customFormat="1" ht="12" customHeight="1">
      <c r="B95" s="269"/>
      <c r="C95" s="246" t="s">
        <v>247</v>
      </c>
      <c r="G95" s="247"/>
      <c r="M95" s="252" t="s">
        <v>248</v>
      </c>
      <c r="O95" s="270">
        <v>0</v>
      </c>
      <c r="R95" s="270">
        <v>0</v>
      </c>
      <c r="S95" s="270">
        <v>0</v>
      </c>
      <c r="T95" s="270">
        <v>0</v>
      </c>
      <c r="U95" s="270">
        <v>0</v>
      </c>
      <c r="V95" s="270">
        <v>0</v>
      </c>
      <c r="W95" s="270">
        <v>0</v>
      </c>
      <c r="X95" s="270">
        <v>0</v>
      </c>
      <c r="Y95" s="270">
        <v>0</v>
      </c>
      <c r="Z95" s="270">
        <v>0</v>
      </c>
      <c r="AA95" s="270">
        <v>0</v>
      </c>
      <c r="AB95" s="270">
        <v>0</v>
      </c>
      <c r="AC95" s="270">
        <v>0</v>
      </c>
      <c r="AD95" s="270">
        <v>0</v>
      </c>
      <c r="AE95" s="270">
        <v>0</v>
      </c>
      <c r="AF95" s="270">
        <v>0</v>
      </c>
      <c r="AG95" s="270">
        <v>0</v>
      </c>
      <c r="AH95" s="270">
        <v>0</v>
      </c>
      <c r="AI95" s="270">
        <v>0</v>
      </c>
      <c r="AJ95" s="270">
        <v>0</v>
      </c>
      <c r="AK95" s="270">
        <v>0</v>
      </c>
    </row>
    <row r="96" spans="2:37" ht="12" customHeight="1">
      <c r="G96" s="263"/>
    </row>
    <row r="97" spans="2:37" ht="12" hidden="1" customHeight="1" outlineLevel="1">
      <c r="B97" s="271" t="s">
        <v>249</v>
      </c>
      <c r="C97" s="271" t="s">
        <v>250</v>
      </c>
      <c r="D97" s="271" t="s">
        <v>251</v>
      </c>
      <c r="E97" s="271" t="s">
        <v>252</v>
      </c>
      <c r="G97" s="263" t="s">
        <v>253</v>
      </c>
      <c r="H97" s="271"/>
      <c r="J97" s="271"/>
      <c r="K97" s="271"/>
      <c r="L97" s="271"/>
      <c r="M97" s="271"/>
    </row>
    <row r="98" spans="2:37" ht="12" hidden="1" customHeight="1" outlineLevel="1">
      <c r="B98" s="271">
        <v>0</v>
      </c>
      <c r="C98" s="271">
        <v>1</v>
      </c>
      <c r="D98" s="271">
        <v>30</v>
      </c>
      <c r="E98" s="271">
        <v>30</v>
      </c>
      <c r="G98" s="272">
        <v>0</v>
      </c>
      <c r="O98" s="264">
        <v>0</v>
      </c>
      <c r="R98" s="264">
        <v>0</v>
      </c>
      <c r="S98" s="264">
        <v>0</v>
      </c>
      <c r="T98" s="264">
        <v>0</v>
      </c>
      <c r="U98" s="264">
        <v>0</v>
      </c>
      <c r="V98" s="264">
        <v>0</v>
      </c>
      <c r="W98" s="264">
        <v>0</v>
      </c>
      <c r="X98" s="264">
        <v>0</v>
      </c>
      <c r="Y98" s="264">
        <v>0</v>
      </c>
      <c r="Z98" s="264">
        <v>0</v>
      </c>
      <c r="AA98" s="264">
        <v>0</v>
      </c>
      <c r="AB98" s="264">
        <v>0</v>
      </c>
      <c r="AC98" s="264">
        <v>0</v>
      </c>
      <c r="AD98" s="264">
        <v>0</v>
      </c>
      <c r="AE98" s="264">
        <v>0</v>
      </c>
      <c r="AF98" s="264">
        <v>0</v>
      </c>
      <c r="AG98" s="264">
        <v>0</v>
      </c>
      <c r="AH98" s="264">
        <v>0</v>
      </c>
      <c r="AI98" s="264">
        <v>0</v>
      </c>
      <c r="AJ98" s="264">
        <v>0</v>
      </c>
      <c r="AK98" s="264">
        <v>0</v>
      </c>
    </row>
    <row r="99" spans="2:37" ht="12" hidden="1" customHeight="1" outlineLevel="1">
      <c r="B99" s="271">
        <v>1</v>
      </c>
      <c r="C99" s="271">
        <v>3</v>
      </c>
      <c r="D99" s="271">
        <v>30</v>
      </c>
      <c r="E99" s="271">
        <v>30</v>
      </c>
      <c r="G99" s="272">
        <v>0</v>
      </c>
      <c r="O99" s="264">
        <v>0</v>
      </c>
      <c r="R99" s="264">
        <v>0</v>
      </c>
      <c r="S99" s="264">
        <v>0</v>
      </c>
      <c r="T99" s="264">
        <v>0</v>
      </c>
      <c r="U99" s="264">
        <v>0</v>
      </c>
      <c r="V99" s="264">
        <v>0</v>
      </c>
      <c r="W99" s="264">
        <v>0</v>
      </c>
      <c r="X99" s="264">
        <v>0</v>
      </c>
      <c r="Y99" s="264">
        <v>0</v>
      </c>
      <c r="Z99" s="264">
        <v>0</v>
      </c>
      <c r="AA99" s="264">
        <v>0</v>
      </c>
      <c r="AB99" s="264">
        <v>0</v>
      </c>
      <c r="AC99" s="264">
        <v>0</v>
      </c>
      <c r="AD99" s="264">
        <v>0</v>
      </c>
      <c r="AE99" s="264">
        <v>0</v>
      </c>
      <c r="AF99" s="264">
        <v>0</v>
      </c>
      <c r="AG99" s="264">
        <v>0</v>
      </c>
      <c r="AH99" s="264">
        <v>0</v>
      </c>
      <c r="AI99" s="264">
        <v>0</v>
      </c>
      <c r="AJ99" s="264">
        <v>0</v>
      </c>
      <c r="AK99" s="264">
        <v>0</v>
      </c>
    </row>
    <row r="100" spans="2:37" ht="12" hidden="1" customHeight="1" outlineLevel="1">
      <c r="B100" s="271">
        <v>2</v>
      </c>
      <c r="C100" s="271">
        <v>3</v>
      </c>
      <c r="D100" s="271">
        <v>30</v>
      </c>
      <c r="E100" s="271">
        <v>30</v>
      </c>
      <c r="G100" s="272">
        <v>0</v>
      </c>
      <c r="O100" s="264">
        <v>0</v>
      </c>
      <c r="R100" s="264">
        <v>0</v>
      </c>
      <c r="S100" s="264">
        <v>0</v>
      </c>
      <c r="T100" s="264">
        <v>0</v>
      </c>
      <c r="U100" s="264">
        <v>0</v>
      </c>
      <c r="V100" s="264">
        <v>0</v>
      </c>
      <c r="W100" s="264">
        <v>0</v>
      </c>
      <c r="X100" s="264">
        <v>0</v>
      </c>
      <c r="Y100" s="264">
        <v>0</v>
      </c>
      <c r="Z100" s="264">
        <v>0</v>
      </c>
      <c r="AA100" s="264">
        <v>0</v>
      </c>
      <c r="AB100" s="264">
        <v>0</v>
      </c>
      <c r="AC100" s="264">
        <v>0</v>
      </c>
      <c r="AD100" s="264">
        <v>0</v>
      </c>
      <c r="AE100" s="264">
        <v>0</v>
      </c>
      <c r="AF100" s="264">
        <v>0</v>
      </c>
      <c r="AG100" s="264">
        <v>0</v>
      </c>
      <c r="AH100" s="264">
        <v>0</v>
      </c>
      <c r="AI100" s="264">
        <v>0</v>
      </c>
      <c r="AJ100" s="264">
        <v>0</v>
      </c>
      <c r="AK100" s="264">
        <v>0</v>
      </c>
    </row>
    <row r="101" spans="2:37" ht="12" hidden="1" customHeight="1" outlineLevel="1">
      <c r="B101" s="271">
        <v>3</v>
      </c>
      <c r="C101" s="271">
        <v>5</v>
      </c>
      <c r="D101" s="271">
        <v>30</v>
      </c>
      <c r="E101" s="271">
        <v>30</v>
      </c>
      <c r="G101" s="272">
        <v>0</v>
      </c>
      <c r="O101" s="264">
        <v>0</v>
      </c>
      <c r="R101" s="264">
        <v>0</v>
      </c>
      <c r="S101" s="264">
        <v>0</v>
      </c>
      <c r="T101" s="264">
        <v>0</v>
      </c>
      <c r="U101" s="264">
        <v>0</v>
      </c>
      <c r="V101" s="264">
        <v>0</v>
      </c>
      <c r="W101" s="264">
        <v>0</v>
      </c>
      <c r="X101" s="264">
        <v>0</v>
      </c>
      <c r="Y101" s="264">
        <v>0</v>
      </c>
      <c r="Z101" s="264">
        <v>0</v>
      </c>
      <c r="AA101" s="264">
        <v>0</v>
      </c>
      <c r="AB101" s="264">
        <v>0</v>
      </c>
      <c r="AC101" s="264">
        <v>0</v>
      </c>
      <c r="AD101" s="264">
        <v>0</v>
      </c>
      <c r="AE101" s="264">
        <v>0</v>
      </c>
      <c r="AF101" s="264">
        <v>0</v>
      </c>
      <c r="AG101" s="264">
        <v>0</v>
      </c>
      <c r="AH101" s="264">
        <v>0</v>
      </c>
      <c r="AI101" s="264">
        <v>0</v>
      </c>
      <c r="AJ101" s="264">
        <v>0</v>
      </c>
      <c r="AK101" s="264">
        <v>0</v>
      </c>
    </row>
    <row r="102" spans="2:37" ht="12" hidden="1" customHeight="1" outlineLevel="1">
      <c r="B102" s="271">
        <v>4</v>
      </c>
      <c r="C102" s="271">
        <v>5</v>
      </c>
      <c r="D102" s="271">
        <v>30</v>
      </c>
      <c r="E102" s="271">
        <v>30</v>
      </c>
      <c r="G102" s="272">
        <v>0</v>
      </c>
      <c r="O102" s="264">
        <v>0</v>
      </c>
      <c r="R102" s="264">
        <v>0</v>
      </c>
      <c r="S102" s="264">
        <v>0</v>
      </c>
      <c r="T102" s="264">
        <v>0</v>
      </c>
      <c r="U102" s="264">
        <v>0</v>
      </c>
      <c r="V102" s="264">
        <v>0</v>
      </c>
      <c r="W102" s="264">
        <v>0</v>
      </c>
      <c r="X102" s="264">
        <v>0</v>
      </c>
      <c r="Y102" s="264">
        <v>0</v>
      </c>
      <c r="Z102" s="264">
        <v>0</v>
      </c>
      <c r="AA102" s="264">
        <v>0</v>
      </c>
      <c r="AB102" s="264">
        <v>0</v>
      </c>
      <c r="AC102" s="264">
        <v>0</v>
      </c>
      <c r="AD102" s="264">
        <v>0</v>
      </c>
      <c r="AE102" s="264">
        <v>0</v>
      </c>
      <c r="AF102" s="264">
        <v>0</v>
      </c>
      <c r="AG102" s="264">
        <v>0</v>
      </c>
      <c r="AH102" s="264">
        <v>0</v>
      </c>
      <c r="AI102" s="264">
        <v>0</v>
      </c>
      <c r="AJ102" s="264">
        <v>0</v>
      </c>
      <c r="AK102" s="264">
        <v>0</v>
      </c>
    </row>
    <row r="103" spans="2:37" ht="12" hidden="1" customHeight="1" outlineLevel="1">
      <c r="B103" s="271">
        <v>5</v>
      </c>
      <c r="C103" s="271">
        <v>5</v>
      </c>
      <c r="D103" s="271">
        <v>30</v>
      </c>
      <c r="E103" s="271">
        <v>30</v>
      </c>
      <c r="G103" s="272">
        <v>0</v>
      </c>
      <c r="O103" s="264">
        <v>0</v>
      </c>
      <c r="R103" s="264">
        <v>0</v>
      </c>
      <c r="S103" s="264">
        <v>0</v>
      </c>
      <c r="T103" s="264">
        <v>0</v>
      </c>
      <c r="U103" s="264">
        <v>0</v>
      </c>
      <c r="V103" s="264">
        <v>0</v>
      </c>
      <c r="W103" s="264">
        <v>0</v>
      </c>
      <c r="X103" s="264">
        <v>0</v>
      </c>
      <c r="Y103" s="264">
        <v>0</v>
      </c>
      <c r="Z103" s="264">
        <v>0</v>
      </c>
      <c r="AA103" s="264">
        <v>0</v>
      </c>
      <c r="AB103" s="264">
        <v>0</v>
      </c>
      <c r="AC103" s="264">
        <v>0</v>
      </c>
      <c r="AD103" s="264">
        <v>0</v>
      </c>
      <c r="AE103" s="264">
        <v>0</v>
      </c>
      <c r="AF103" s="264">
        <v>0</v>
      </c>
      <c r="AG103" s="264">
        <v>0</v>
      </c>
      <c r="AH103" s="264">
        <v>0</v>
      </c>
      <c r="AI103" s="264">
        <v>0</v>
      </c>
      <c r="AJ103" s="264">
        <v>0</v>
      </c>
      <c r="AK103" s="264">
        <v>0</v>
      </c>
    </row>
    <row r="104" spans="2:37" ht="12" hidden="1" customHeight="1" outlineLevel="1">
      <c r="B104" s="271">
        <v>6</v>
      </c>
      <c r="C104" s="271">
        <v>6</v>
      </c>
      <c r="D104" s="271">
        <v>30</v>
      </c>
      <c r="E104" s="271">
        <v>30</v>
      </c>
      <c r="G104" s="272">
        <v>0</v>
      </c>
      <c r="O104" s="264">
        <v>0</v>
      </c>
      <c r="R104" s="264">
        <v>0</v>
      </c>
      <c r="S104" s="264">
        <v>0</v>
      </c>
      <c r="T104" s="264">
        <v>0</v>
      </c>
      <c r="U104" s="264">
        <v>0</v>
      </c>
      <c r="V104" s="264">
        <v>0</v>
      </c>
      <c r="W104" s="264">
        <v>0</v>
      </c>
      <c r="X104" s="264">
        <v>0</v>
      </c>
      <c r="Y104" s="264">
        <v>0</v>
      </c>
      <c r="Z104" s="264">
        <v>0</v>
      </c>
      <c r="AA104" s="264">
        <v>0</v>
      </c>
      <c r="AB104" s="264">
        <v>0</v>
      </c>
      <c r="AC104" s="264">
        <v>0</v>
      </c>
      <c r="AD104" s="264">
        <v>0</v>
      </c>
      <c r="AE104" s="264">
        <v>0</v>
      </c>
      <c r="AF104" s="264">
        <v>0</v>
      </c>
      <c r="AG104" s="264">
        <v>0</v>
      </c>
      <c r="AH104" s="264">
        <v>0</v>
      </c>
      <c r="AI104" s="264">
        <v>0</v>
      </c>
      <c r="AJ104" s="264">
        <v>0</v>
      </c>
      <c r="AK104" s="264">
        <v>0</v>
      </c>
    </row>
    <row r="105" spans="2:37" ht="12" hidden="1" customHeight="1" outlineLevel="1">
      <c r="B105" s="271">
        <v>7</v>
      </c>
      <c r="C105" s="271">
        <v>7</v>
      </c>
      <c r="D105" s="271">
        <v>30</v>
      </c>
      <c r="E105" s="271">
        <v>30</v>
      </c>
      <c r="G105" s="272">
        <v>0</v>
      </c>
      <c r="O105" s="264">
        <v>0</v>
      </c>
      <c r="R105" s="264">
        <v>0</v>
      </c>
      <c r="S105" s="264">
        <v>0</v>
      </c>
      <c r="T105" s="264">
        <v>0</v>
      </c>
      <c r="U105" s="264">
        <v>0</v>
      </c>
      <c r="V105" s="264">
        <v>0</v>
      </c>
      <c r="W105" s="264">
        <v>0</v>
      </c>
      <c r="X105" s="264">
        <v>0</v>
      </c>
      <c r="Y105" s="264">
        <v>0</v>
      </c>
      <c r="Z105" s="264">
        <v>0</v>
      </c>
      <c r="AA105" s="264">
        <v>0</v>
      </c>
      <c r="AB105" s="264">
        <v>0</v>
      </c>
      <c r="AC105" s="264">
        <v>0</v>
      </c>
      <c r="AD105" s="264">
        <v>0</v>
      </c>
      <c r="AE105" s="264">
        <v>0</v>
      </c>
      <c r="AF105" s="264">
        <v>0</v>
      </c>
      <c r="AG105" s="264">
        <v>0</v>
      </c>
      <c r="AH105" s="264">
        <v>0</v>
      </c>
      <c r="AI105" s="264">
        <v>0</v>
      </c>
      <c r="AJ105" s="264">
        <v>0</v>
      </c>
      <c r="AK105" s="264">
        <v>0</v>
      </c>
    </row>
    <row r="106" spans="2:37" ht="12" hidden="1" customHeight="1" outlineLevel="1">
      <c r="B106" s="271">
        <v>8</v>
      </c>
      <c r="C106" s="271">
        <v>8</v>
      </c>
      <c r="D106" s="271">
        <v>30</v>
      </c>
      <c r="E106" s="271">
        <v>30</v>
      </c>
      <c r="G106" s="272">
        <v>0</v>
      </c>
      <c r="O106" s="264">
        <v>0</v>
      </c>
      <c r="R106" s="264">
        <v>0</v>
      </c>
      <c r="S106" s="264">
        <v>0</v>
      </c>
      <c r="T106" s="264">
        <v>0</v>
      </c>
      <c r="U106" s="264">
        <v>0</v>
      </c>
      <c r="V106" s="264">
        <v>0</v>
      </c>
      <c r="W106" s="264">
        <v>0</v>
      </c>
      <c r="X106" s="264">
        <v>0</v>
      </c>
      <c r="Y106" s="264">
        <v>0</v>
      </c>
      <c r="Z106" s="264">
        <v>0</v>
      </c>
      <c r="AA106" s="264">
        <v>0</v>
      </c>
      <c r="AB106" s="264">
        <v>0</v>
      </c>
      <c r="AC106" s="264">
        <v>0</v>
      </c>
      <c r="AD106" s="264">
        <v>0</v>
      </c>
      <c r="AE106" s="264">
        <v>0</v>
      </c>
      <c r="AF106" s="264">
        <v>0</v>
      </c>
      <c r="AG106" s="264">
        <v>0</v>
      </c>
      <c r="AH106" s="264">
        <v>0</v>
      </c>
      <c r="AI106" s="264">
        <v>0</v>
      </c>
      <c r="AJ106" s="264">
        <v>0</v>
      </c>
      <c r="AK106" s="264">
        <v>0</v>
      </c>
    </row>
    <row r="107" spans="2:37" ht="12" hidden="1" customHeight="1" outlineLevel="1">
      <c r="B107" s="271">
        <v>9</v>
      </c>
      <c r="C107" s="271">
        <v>9</v>
      </c>
      <c r="D107" s="271">
        <v>30</v>
      </c>
      <c r="E107" s="271">
        <v>30</v>
      </c>
      <c r="G107" s="272">
        <v>0</v>
      </c>
      <c r="O107" s="264">
        <v>0</v>
      </c>
      <c r="R107" s="264">
        <v>0</v>
      </c>
      <c r="S107" s="264">
        <v>0</v>
      </c>
      <c r="T107" s="264">
        <v>0</v>
      </c>
      <c r="U107" s="264">
        <v>0</v>
      </c>
      <c r="V107" s="264">
        <v>0</v>
      </c>
      <c r="W107" s="264">
        <v>0</v>
      </c>
      <c r="X107" s="264">
        <v>0</v>
      </c>
      <c r="Y107" s="264">
        <v>0</v>
      </c>
      <c r="Z107" s="264">
        <v>0</v>
      </c>
      <c r="AA107" s="264">
        <v>0</v>
      </c>
      <c r="AB107" s="264">
        <v>0</v>
      </c>
      <c r="AC107" s="264">
        <v>0</v>
      </c>
      <c r="AD107" s="264">
        <v>0</v>
      </c>
      <c r="AE107" s="264">
        <v>0</v>
      </c>
      <c r="AF107" s="264">
        <v>0</v>
      </c>
      <c r="AG107" s="264">
        <v>0</v>
      </c>
      <c r="AH107" s="264">
        <v>0</v>
      </c>
      <c r="AI107" s="264">
        <v>0</v>
      </c>
      <c r="AJ107" s="264">
        <v>0</v>
      </c>
      <c r="AK107" s="264">
        <v>0</v>
      </c>
    </row>
    <row r="108" spans="2:37" ht="12" hidden="1" customHeight="1" outlineLevel="1">
      <c r="B108" s="271">
        <v>10</v>
      </c>
      <c r="C108" s="271">
        <v>10</v>
      </c>
      <c r="D108" s="271">
        <v>30</v>
      </c>
      <c r="E108" s="271">
        <v>30</v>
      </c>
      <c r="G108" s="272">
        <v>0</v>
      </c>
      <c r="O108" s="264">
        <v>0</v>
      </c>
      <c r="R108" s="264">
        <v>0</v>
      </c>
      <c r="S108" s="264">
        <v>0</v>
      </c>
      <c r="T108" s="264">
        <v>0</v>
      </c>
      <c r="U108" s="264">
        <v>0</v>
      </c>
      <c r="V108" s="264">
        <v>0</v>
      </c>
      <c r="W108" s="264">
        <v>0</v>
      </c>
      <c r="X108" s="264">
        <v>0</v>
      </c>
      <c r="Y108" s="264">
        <v>0</v>
      </c>
      <c r="Z108" s="264">
        <v>0</v>
      </c>
      <c r="AA108" s="264">
        <v>0</v>
      </c>
      <c r="AB108" s="264">
        <v>0</v>
      </c>
      <c r="AC108" s="264">
        <v>0</v>
      </c>
      <c r="AD108" s="264">
        <v>0</v>
      </c>
      <c r="AE108" s="264">
        <v>0</v>
      </c>
      <c r="AF108" s="264">
        <v>0</v>
      </c>
      <c r="AG108" s="264">
        <v>0</v>
      </c>
      <c r="AH108" s="264">
        <v>0</v>
      </c>
      <c r="AI108" s="264">
        <v>0</v>
      </c>
      <c r="AJ108" s="264">
        <v>0</v>
      </c>
      <c r="AK108" s="264">
        <v>0</v>
      </c>
    </row>
    <row r="109" spans="2:37" ht="12" hidden="1" customHeight="1" outlineLevel="1">
      <c r="B109" s="271">
        <v>11</v>
      </c>
      <c r="C109" s="271">
        <v>11</v>
      </c>
      <c r="D109" s="271">
        <v>30</v>
      </c>
      <c r="E109" s="271">
        <v>30</v>
      </c>
      <c r="G109" s="272">
        <v>0</v>
      </c>
      <c r="O109" s="264">
        <v>0</v>
      </c>
      <c r="R109" s="264">
        <v>0</v>
      </c>
      <c r="S109" s="264">
        <v>0</v>
      </c>
      <c r="T109" s="264">
        <v>0</v>
      </c>
      <c r="U109" s="264">
        <v>0</v>
      </c>
      <c r="V109" s="264">
        <v>0</v>
      </c>
      <c r="W109" s="264">
        <v>0</v>
      </c>
      <c r="X109" s="264">
        <v>0</v>
      </c>
      <c r="Y109" s="264">
        <v>0</v>
      </c>
      <c r="Z109" s="264">
        <v>0</v>
      </c>
      <c r="AA109" s="264">
        <v>0</v>
      </c>
      <c r="AB109" s="264">
        <v>0</v>
      </c>
      <c r="AC109" s="264">
        <v>0</v>
      </c>
      <c r="AD109" s="264">
        <v>0</v>
      </c>
      <c r="AE109" s="264">
        <v>0</v>
      </c>
      <c r="AF109" s="264">
        <v>0</v>
      </c>
      <c r="AG109" s="264">
        <v>0</v>
      </c>
      <c r="AH109" s="264">
        <v>0</v>
      </c>
      <c r="AI109" s="264">
        <v>0</v>
      </c>
      <c r="AJ109" s="264">
        <v>0</v>
      </c>
      <c r="AK109" s="264">
        <v>0</v>
      </c>
    </row>
    <row r="110" spans="2:37" ht="12" hidden="1" customHeight="1" outlineLevel="1">
      <c r="B110" s="271">
        <v>12</v>
      </c>
      <c r="C110" s="271">
        <v>12</v>
      </c>
      <c r="D110" s="271">
        <v>30</v>
      </c>
      <c r="E110" s="271">
        <v>30</v>
      </c>
      <c r="G110" s="272">
        <v>0</v>
      </c>
      <c r="O110" s="264">
        <v>0</v>
      </c>
      <c r="R110" s="264">
        <v>0</v>
      </c>
      <c r="S110" s="264">
        <v>0</v>
      </c>
      <c r="T110" s="264">
        <v>0</v>
      </c>
      <c r="U110" s="264">
        <v>0</v>
      </c>
      <c r="V110" s="264">
        <v>0</v>
      </c>
      <c r="W110" s="264">
        <v>0</v>
      </c>
      <c r="X110" s="264">
        <v>0</v>
      </c>
      <c r="Y110" s="264">
        <v>0</v>
      </c>
      <c r="Z110" s="264">
        <v>0</v>
      </c>
      <c r="AA110" s="264">
        <v>0</v>
      </c>
      <c r="AB110" s="264">
        <v>0</v>
      </c>
      <c r="AC110" s="264">
        <v>0</v>
      </c>
      <c r="AD110" s="264">
        <v>0</v>
      </c>
      <c r="AE110" s="264">
        <v>0</v>
      </c>
      <c r="AF110" s="264">
        <v>0</v>
      </c>
      <c r="AG110" s="264">
        <v>0</v>
      </c>
      <c r="AH110" s="264">
        <v>0</v>
      </c>
      <c r="AI110" s="264">
        <v>0</v>
      </c>
      <c r="AJ110" s="264">
        <v>0</v>
      </c>
      <c r="AK110" s="264">
        <v>0</v>
      </c>
    </row>
    <row r="111" spans="2:37" ht="12" hidden="1" customHeight="1" outlineLevel="1">
      <c r="B111" s="271">
        <v>13</v>
      </c>
      <c r="C111" s="271">
        <v>13</v>
      </c>
      <c r="D111" s="271">
        <v>30</v>
      </c>
      <c r="E111" s="271">
        <v>30</v>
      </c>
      <c r="G111" s="272">
        <v>0</v>
      </c>
      <c r="O111" s="264">
        <v>0</v>
      </c>
      <c r="R111" s="264">
        <v>0</v>
      </c>
      <c r="S111" s="264">
        <v>0</v>
      </c>
      <c r="T111" s="264">
        <v>0</v>
      </c>
      <c r="U111" s="264">
        <v>0</v>
      </c>
      <c r="V111" s="264">
        <v>0</v>
      </c>
      <c r="W111" s="264">
        <v>0</v>
      </c>
      <c r="X111" s="264">
        <v>0</v>
      </c>
      <c r="Y111" s="264">
        <v>0</v>
      </c>
      <c r="Z111" s="264">
        <v>0</v>
      </c>
      <c r="AA111" s="264">
        <v>0</v>
      </c>
      <c r="AB111" s="264">
        <v>0</v>
      </c>
      <c r="AC111" s="264">
        <v>0</v>
      </c>
      <c r="AD111" s="264">
        <v>0</v>
      </c>
      <c r="AE111" s="264">
        <v>0</v>
      </c>
      <c r="AF111" s="264">
        <v>0</v>
      </c>
      <c r="AG111" s="264">
        <v>0</v>
      </c>
      <c r="AH111" s="264">
        <v>0</v>
      </c>
      <c r="AI111" s="264">
        <v>0</v>
      </c>
      <c r="AJ111" s="264">
        <v>0</v>
      </c>
      <c r="AK111" s="264">
        <v>0</v>
      </c>
    </row>
    <row r="112" spans="2:37" ht="12" hidden="1" customHeight="1" outlineLevel="1">
      <c r="B112" s="271">
        <v>14</v>
      </c>
      <c r="C112" s="271">
        <v>14</v>
      </c>
      <c r="D112" s="271">
        <v>30</v>
      </c>
      <c r="E112" s="271">
        <v>30</v>
      </c>
      <c r="G112" s="272">
        <v>0</v>
      </c>
      <c r="O112" s="264">
        <v>0</v>
      </c>
      <c r="R112" s="264">
        <v>0</v>
      </c>
      <c r="S112" s="264">
        <v>0</v>
      </c>
      <c r="T112" s="264">
        <v>0</v>
      </c>
      <c r="U112" s="264">
        <v>0</v>
      </c>
      <c r="V112" s="264">
        <v>0</v>
      </c>
      <c r="W112" s="264">
        <v>0</v>
      </c>
      <c r="X112" s="264">
        <v>0</v>
      </c>
      <c r="Y112" s="264">
        <v>0</v>
      </c>
      <c r="Z112" s="264">
        <v>0</v>
      </c>
      <c r="AA112" s="264">
        <v>0</v>
      </c>
      <c r="AB112" s="264">
        <v>0</v>
      </c>
      <c r="AC112" s="264">
        <v>0</v>
      </c>
      <c r="AD112" s="264">
        <v>0</v>
      </c>
      <c r="AE112" s="264">
        <v>0</v>
      </c>
      <c r="AF112" s="264">
        <v>0</v>
      </c>
      <c r="AG112" s="264">
        <v>0</v>
      </c>
      <c r="AH112" s="264">
        <v>0</v>
      </c>
      <c r="AI112" s="264">
        <v>0</v>
      </c>
      <c r="AJ112" s="264">
        <v>0</v>
      </c>
      <c r="AK112" s="264">
        <v>0</v>
      </c>
    </row>
    <row r="113" spans="2:37" ht="12" hidden="1" customHeight="1" outlineLevel="1">
      <c r="B113" s="271">
        <v>15</v>
      </c>
      <c r="C113" s="271">
        <v>15</v>
      </c>
      <c r="D113" s="271">
        <v>30</v>
      </c>
      <c r="E113" s="271">
        <v>30</v>
      </c>
      <c r="G113" s="272">
        <v>0</v>
      </c>
      <c r="O113" s="264">
        <v>0</v>
      </c>
      <c r="R113" s="264">
        <v>0</v>
      </c>
      <c r="S113" s="264">
        <v>0</v>
      </c>
      <c r="T113" s="264">
        <v>0</v>
      </c>
      <c r="U113" s="264">
        <v>0</v>
      </c>
      <c r="V113" s="264">
        <v>0</v>
      </c>
      <c r="W113" s="264">
        <v>0</v>
      </c>
      <c r="X113" s="264">
        <v>0</v>
      </c>
      <c r="Y113" s="264">
        <v>0</v>
      </c>
      <c r="Z113" s="264">
        <v>0</v>
      </c>
      <c r="AA113" s="264">
        <v>0</v>
      </c>
      <c r="AB113" s="264">
        <v>0</v>
      </c>
      <c r="AC113" s="264">
        <v>0</v>
      </c>
      <c r="AD113" s="264">
        <v>0</v>
      </c>
      <c r="AE113" s="264">
        <v>0</v>
      </c>
      <c r="AF113" s="264">
        <v>0</v>
      </c>
      <c r="AG113" s="264">
        <v>0</v>
      </c>
      <c r="AH113" s="264">
        <v>0</v>
      </c>
      <c r="AI113" s="264">
        <v>0</v>
      </c>
      <c r="AJ113" s="264">
        <v>0</v>
      </c>
      <c r="AK113" s="264">
        <v>0</v>
      </c>
    </row>
    <row r="114" spans="2:37" ht="12" hidden="1" customHeight="1" outlineLevel="1">
      <c r="B114" s="271">
        <v>16</v>
      </c>
      <c r="C114" s="271">
        <v>16</v>
      </c>
      <c r="D114" s="271">
        <v>30</v>
      </c>
      <c r="E114" s="271">
        <v>30</v>
      </c>
      <c r="G114" s="272">
        <v>0</v>
      </c>
      <c r="O114" s="264">
        <v>0</v>
      </c>
      <c r="R114" s="264">
        <v>0</v>
      </c>
      <c r="S114" s="264">
        <v>0</v>
      </c>
      <c r="T114" s="264">
        <v>0</v>
      </c>
      <c r="U114" s="264">
        <v>0</v>
      </c>
      <c r="V114" s="264">
        <v>0</v>
      </c>
      <c r="W114" s="264">
        <v>0</v>
      </c>
      <c r="X114" s="264">
        <v>0</v>
      </c>
      <c r="Y114" s="264">
        <v>0</v>
      </c>
      <c r="Z114" s="264">
        <v>0</v>
      </c>
      <c r="AA114" s="264">
        <v>0</v>
      </c>
      <c r="AB114" s="264">
        <v>0</v>
      </c>
      <c r="AC114" s="264">
        <v>0</v>
      </c>
      <c r="AD114" s="264">
        <v>0</v>
      </c>
      <c r="AE114" s="264">
        <v>0</v>
      </c>
      <c r="AF114" s="264">
        <v>0</v>
      </c>
      <c r="AG114" s="264">
        <v>0</v>
      </c>
      <c r="AH114" s="264">
        <v>0</v>
      </c>
      <c r="AI114" s="264">
        <v>0</v>
      </c>
      <c r="AJ114" s="264">
        <v>0</v>
      </c>
      <c r="AK114" s="264">
        <v>0</v>
      </c>
    </row>
    <row r="115" spans="2:37" ht="12" hidden="1" customHeight="1" outlineLevel="1">
      <c r="B115" s="271">
        <v>17</v>
      </c>
      <c r="C115" s="271">
        <v>17</v>
      </c>
      <c r="D115" s="271">
        <v>30</v>
      </c>
      <c r="E115" s="271">
        <v>30</v>
      </c>
      <c r="G115" s="272">
        <v>0</v>
      </c>
      <c r="O115" s="264">
        <v>0</v>
      </c>
      <c r="R115" s="264">
        <v>0</v>
      </c>
      <c r="S115" s="264">
        <v>0</v>
      </c>
      <c r="T115" s="264">
        <v>0</v>
      </c>
      <c r="U115" s="264">
        <v>0</v>
      </c>
      <c r="V115" s="264">
        <v>0</v>
      </c>
      <c r="W115" s="264">
        <v>0</v>
      </c>
      <c r="X115" s="264">
        <v>0</v>
      </c>
      <c r="Y115" s="264">
        <v>0</v>
      </c>
      <c r="Z115" s="264">
        <v>0</v>
      </c>
      <c r="AA115" s="264">
        <v>0</v>
      </c>
      <c r="AB115" s="264">
        <v>0</v>
      </c>
      <c r="AC115" s="264">
        <v>0</v>
      </c>
      <c r="AD115" s="264">
        <v>0</v>
      </c>
      <c r="AE115" s="264">
        <v>0</v>
      </c>
      <c r="AF115" s="264">
        <v>0</v>
      </c>
      <c r="AG115" s="264">
        <v>0</v>
      </c>
      <c r="AH115" s="264">
        <v>0</v>
      </c>
      <c r="AI115" s="264">
        <v>0</v>
      </c>
      <c r="AJ115" s="264">
        <v>0</v>
      </c>
      <c r="AK115" s="264">
        <v>0</v>
      </c>
    </row>
    <row r="116" spans="2:37" ht="12" hidden="1" customHeight="1" outlineLevel="1">
      <c r="B116" s="271">
        <v>18</v>
      </c>
      <c r="C116" s="271">
        <v>18</v>
      </c>
      <c r="D116" s="271">
        <v>30</v>
      </c>
      <c r="E116" s="271">
        <v>30</v>
      </c>
      <c r="G116" s="272">
        <v>0</v>
      </c>
      <c r="O116" s="264">
        <v>0</v>
      </c>
      <c r="R116" s="264">
        <v>0</v>
      </c>
      <c r="S116" s="264">
        <v>0</v>
      </c>
      <c r="T116" s="264">
        <v>0</v>
      </c>
      <c r="U116" s="264">
        <v>0</v>
      </c>
      <c r="V116" s="264">
        <v>0</v>
      </c>
      <c r="W116" s="264">
        <v>0</v>
      </c>
      <c r="X116" s="264">
        <v>0</v>
      </c>
      <c r="Y116" s="264">
        <v>0</v>
      </c>
      <c r="Z116" s="264">
        <v>0</v>
      </c>
      <c r="AA116" s="264">
        <v>0</v>
      </c>
      <c r="AB116" s="264">
        <v>0</v>
      </c>
      <c r="AC116" s="264">
        <v>0</v>
      </c>
      <c r="AD116" s="264">
        <v>0</v>
      </c>
      <c r="AE116" s="264">
        <v>0</v>
      </c>
      <c r="AF116" s="264">
        <v>0</v>
      </c>
      <c r="AG116" s="264">
        <v>0</v>
      </c>
      <c r="AH116" s="264">
        <v>0</v>
      </c>
      <c r="AI116" s="264">
        <v>0</v>
      </c>
      <c r="AJ116" s="264">
        <v>0</v>
      </c>
      <c r="AK116" s="264">
        <v>0</v>
      </c>
    </row>
    <row r="117" spans="2:37" ht="12" hidden="1" customHeight="1" outlineLevel="1">
      <c r="B117" s="271">
        <v>19</v>
      </c>
      <c r="C117" s="271">
        <v>19</v>
      </c>
      <c r="D117" s="271">
        <v>30</v>
      </c>
      <c r="E117" s="271">
        <v>30</v>
      </c>
      <c r="G117" s="272">
        <v>0</v>
      </c>
      <c r="O117" s="264">
        <v>0</v>
      </c>
      <c r="R117" s="264">
        <v>0</v>
      </c>
      <c r="S117" s="264">
        <v>0</v>
      </c>
      <c r="T117" s="264">
        <v>0</v>
      </c>
      <c r="U117" s="264">
        <v>0</v>
      </c>
      <c r="V117" s="264">
        <v>0</v>
      </c>
      <c r="W117" s="264">
        <v>0</v>
      </c>
      <c r="X117" s="264">
        <v>0</v>
      </c>
      <c r="Y117" s="264">
        <v>0</v>
      </c>
      <c r="Z117" s="264">
        <v>0</v>
      </c>
      <c r="AA117" s="264">
        <v>0</v>
      </c>
      <c r="AB117" s="264">
        <v>0</v>
      </c>
      <c r="AC117" s="264">
        <v>0</v>
      </c>
      <c r="AD117" s="264">
        <v>0</v>
      </c>
      <c r="AE117" s="264">
        <v>0</v>
      </c>
      <c r="AF117" s="264">
        <v>0</v>
      </c>
      <c r="AG117" s="264">
        <v>0</v>
      </c>
      <c r="AH117" s="264">
        <v>0</v>
      </c>
      <c r="AI117" s="264">
        <v>0</v>
      </c>
      <c r="AJ117" s="264">
        <v>0</v>
      </c>
      <c r="AK117" s="264">
        <v>0</v>
      </c>
    </row>
    <row r="118" spans="2:37" ht="12" hidden="1" customHeight="1" outlineLevel="1">
      <c r="B118" s="271">
        <v>20</v>
      </c>
      <c r="C118" s="271">
        <v>20</v>
      </c>
      <c r="D118" s="271">
        <v>30</v>
      </c>
      <c r="E118" s="271">
        <v>30</v>
      </c>
      <c r="G118" s="272">
        <v>0</v>
      </c>
      <c r="O118" s="264">
        <v>0</v>
      </c>
      <c r="R118" s="264">
        <v>0</v>
      </c>
      <c r="S118" s="264">
        <v>0</v>
      </c>
      <c r="T118" s="264">
        <v>0</v>
      </c>
      <c r="U118" s="264">
        <v>0</v>
      </c>
      <c r="V118" s="264">
        <v>0</v>
      </c>
      <c r="W118" s="264">
        <v>0</v>
      </c>
      <c r="X118" s="264">
        <v>0</v>
      </c>
      <c r="Y118" s="264">
        <v>0</v>
      </c>
      <c r="Z118" s="264">
        <v>0</v>
      </c>
      <c r="AA118" s="264">
        <v>0</v>
      </c>
      <c r="AB118" s="264">
        <v>0</v>
      </c>
      <c r="AC118" s="264">
        <v>0</v>
      </c>
      <c r="AD118" s="264">
        <v>0</v>
      </c>
      <c r="AE118" s="264">
        <v>0</v>
      </c>
      <c r="AF118" s="264">
        <v>0</v>
      </c>
      <c r="AG118" s="264">
        <v>0</v>
      </c>
      <c r="AH118" s="264">
        <v>0</v>
      </c>
      <c r="AI118" s="264">
        <v>0</v>
      </c>
      <c r="AJ118" s="264">
        <v>0</v>
      </c>
      <c r="AK118" s="264">
        <v>0</v>
      </c>
    </row>
    <row r="119" spans="2:37" ht="12" hidden="1" customHeight="1" outlineLevel="1">
      <c r="B119" s="271">
        <v>21</v>
      </c>
      <c r="C119" s="271">
        <v>21</v>
      </c>
      <c r="D119" s="271">
        <v>30</v>
      </c>
      <c r="E119" s="271">
        <v>30</v>
      </c>
      <c r="G119" s="272">
        <v>0</v>
      </c>
      <c r="O119" s="264">
        <v>0</v>
      </c>
      <c r="R119" s="264">
        <v>0</v>
      </c>
      <c r="S119" s="264">
        <v>0</v>
      </c>
      <c r="T119" s="264">
        <v>0</v>
      </c>
      <c r="U119" s="264">
        <v>0</v>
      </c>
      <c r="V119" s="264">
        <v>0</v>
      </c>
      <c r="W119" s="264">
        <v>0</v>
      </c>
      <c r="X119" s="264">
        <v>0</v>
      </c>
      <c r="Y119" s="264">
        <v>0</v>
      </c>
      <c r="Z119" s="264">
        <v>0</v>
      </c>
      <c r="AA119" s="264">
        <v>0</v>
      </c>
      <c r="AB119" s="264">
        <v>0</v>
      </c>
      <c r="AC119" s="264">
        <v>0</v>
      </c>
      <c r="AD119" s="264">
        <v>0</v>
      </c>
      <c r="AE119" s="264">
        <v>0</v>
      </c>
      <c r="AF119" s="264">
        <v>0</v>
      </c>
      <c r="AG119" s="264">
        <v>0</v>
      </c>
      <c r="AH119" s="264">
        <v>0</v>
      </c>
      <c r="AI119" s="264">
        <v>0</v>
      </c>
      <c r="AJ119" s="264">
        <v>0</v>
      </c>
      <c r="AK119" s="264">
        <v>0</v>
      </c>
    </row>
    <row r="120" spans="2:37" ht="12" hidden="1" customHeight="1" outlineLevel="1">
      <c r="B120" s="271">
        <v>22</v>
      </c>
      <c r="C120" s="271">
        <v>22</v>
      </c>
      <c r="D120" s="271">
        <v>30</v>
      </c>
      <c r="E120" s="271">
        <v>30</v>
      </c>
      <c r="G120" s="272">
        <v>0</v>
      </c>
      <c r="O120" s="264">
        <v>0</v>
      </c>
      <c r="R120" s="264">
        <v>0</v>
      </c>
      <c r="S120" s="264">
        <v>0</v>
      </c>
      <c r="T120" s="264">
        <v>0</v>
      </c>
      <c r="U120" s="264">
        <v>0</v>
      </c>
      <c r="V120" s="264">
        <v>0</v>
      </c>
      <c r="W120" s="264">
        <v>0</v>
      </c>
      <c r="X120" s="264">
        <v>0</v>
      </c>
      <c r="Y120" s="264">
        <v>0</v>
      </c>
      <c r="Z120" s="264">
        <v>0</v>
      </c>
      <c r="AA120" s="264">
        <v>0</v>
      </c>
      <c r="AB120" s="264">
        <v>0</v>
      </c>
      <c r="AC120" s="264">
        <v>0</v>
      </c>
      <c r="AD120" s="264">
        <v>0</v>
      </c>
      <c r="AE120" s="264">
        <v>0</v>
      </c>
      <c r="AF120" s="264">
        <v>0</v>
      </c>
      <c r="AG120" s="264">
        <v>0</v>
      </c>
      <c r="AH120" s="264">
        <v>0</v>
      </c>
      <c r="AI120" s="264">
        <v>0</v>
      </c>
      <c r="AJ120" s="264">
        <v>0</v>
      </c>
      <c r="AK120" s="264">
        <v>0</v>
      </c>
    </row>
    <row r="121" spans="2:37" ht="12" hidden="1" customHeight="1" outlineLevel="1">
      <c r="B121" s="271">
        <v>23</v>
      </c>
      <c r="C121" s="271">
        <v>23</v>
      </c>
      <c r="D121" s="271">
        <v>30</v>
      </c>
      <c r="E121" s="271">
        <v>30</v>
      </c>
      <c r="G121" s="272">
        <v>0</v>
      </c>
      <c r="O121" s="264">
        <v>0</v>
      </c>
      <c r="R121" s="264">
        <v>0</v>
      </c>
      <c r="S121" s="264">
        <v>0</v>
      </c>
      <c r="T121" s="264">
        <v>0</v>
      </c>
      <c r="U121" s="264">
        <v>0</v>
      </c>
      <c r="V121" s="264">
        <v>0</v>
      </c>
      <c r="W121" s="264">
        <v>0</v>
      </c>
      <c r="X121" s="264">
        <v>0</v>
      </c>
      <c r="Y121" s="264">
        <v>0</v>
      </c>
      <c r="Z121" s="264">
        <v>0</v>
      </c>
      <c r="AA121" s="264">
        <v>0</v>
      </c>
      <c r="AB121" s="264">
        <v>0</v>
      </c>
      <c r="AC121" s="264">
        <v>0</v>
      </c>
      <c r="AD121" s="264">
        <v>0</v>
      </c>
      <c r="AE121" s="264">
        <v>0</v>
      </c>
      <c r="AF121" s="264">
        <v>0</v>
      </c>
      <c r="AG121" s="264">
        <v>0</v>
      </c>
      <c r="AH121" s="264">
        <v>0</v>
      </c>
      <c r="AI121" s="264">
        <v>0</v>
      </c>
      <c r="AJ121" s="264">
        <v>0</v>
      </c>
      <c r="AK121" s="264">
        <v>0</v>
      </c>
    </row>
    <row r="122" spans="2:37" ht="12" hidden="1" customHeight="1" outlineLevel="1">
      <c r="B122" s="271">
        <v>24</v>
      </c>
      <c r="C122" s="271">
        <v>24</v>
      </c>
      <c r="D122" s="271">
        <v>30</v>
      </c>
      <c r="E122" s="271">
        <v>30</v>
      </c>
      <c r="G122" s="272">
        <v>0</v>
      </c>
      <c r="O122" s="264">
        <v>0</v>
      </c>
      <c r="R122" s="264">
        <v>0</v>
      </c>
      <c r="S122" s="264">
        <v>0</v>
      </c>
      <c r="T122" s="264">
        <v>0</v>
      </c>
      <c r="U122" s="264">
        <v>0</v>
      </c>
      <c r="V122" s="264">
        <v>0</v>
      </c>
      <c r="W122" s="264">
        <v>0</v>
      </c>
      <c r="X122" s="264">
        <v>0</v>
      </c>
      <c r="Y122" s="264">
        <v>0</v>
      </c>
      <c r="Z122" s="264">
        <v>0</v>
      </c>
      <c r="AA122" s="264">
        <v>0</v>
      </c>
      <c r="AB122" s="264">
        <v>0</v>
      </c>
      <c r="AC122" s="264">
        <v>0</v>
      </c>
      <c r="AD122" s="264">
        <v>0</v>
      </c>
      <c r="AE122" s="264">
        <v>0</v>
      </c>
      <c r="AF122" s="264">
        <v>0</v>
      </c>
      <c r="AG122" s="264">
        <v>0</v>
      </c>
      <c r="AH122" s="264">
        <v>0</v>
      </c>
      <c r="AI122" s="264">
        <v>0</v>
      </c>
      <c r="AJ122" s="264">
        <v>0</v>
      </c>
      <c r="AK122" s="264">
        <v>0</v>
      </c>
    </row>
    <row r="123" spans="2:37" ht="12" hidden="1" customHeight="1" outlineLevel="1">
      <c r="B123" s="271">
        <v>25</v>
      </c>
      <c r="C123" s="271">
        <v>25</v>
      </c>
      <c r="D123" s="271">
        <v>30</v>
      </c>
      <c r="E123" s="271">
        <v>30</v>
      </c>
      <c r="G123" s="272">
        <v>0</v>
      </c>
      <c r="O123" s="264">
        <v>0</v>
      </c>
      <c r="R123" s="264">
        <v>0</v>
      </c>
      <c r="S123" s="264">
        <v>0</v>
      </c>
      <c r="T123" s="264">
        <v>0</v>
      </c>
      <c r="U123" s="264">
        <v>0</v>
      </c>
      <c r="V123" s="264">
        <v>0</v>
      </c>
      <c r="W123" s="264">
        <v>0</v>
      </c>
      <c r="X123" s="264">
        <v>0</v>
      </c>
      <c r="Y123" s="264">
        <v>0</v>
      </c>
      <c r="Z123" s="264">
        <v>0</v>
      </c>
      <c r="AA123" s="264">
        <v>0</v>
      </c>
      <c r="AB123" s="264">
        <v>0</v>
      </c>
      <c r="AC123" s="264">
        <v>0</v>
      </c>
      <c r="AD123" s="264">
        <v>0</v>
      </c>
      <c r="AE123" s="264">
        <v>0</v>
      </c>
      <c r="AF123" s="264">
        <v>0</v>
      </c>
      <c r="AG123" s="264">
        <v>0</v>
      </c>
      <c r="AH123" s="264">
        <v>0</v>
      </c>
      <c r="AI123" s="264">
        <v>0</v>
      </c>
      <c r="AJ123" s="264">
        <v>0</v>
      </c>
      <c r="AK123" s="264">
        <v>0</v>
      </c>
    </row>
    <row r="124" spans="2:37" ht="12" hidden="1" customHeight="1" outlineLevel="1">
      <c r="B124" s="271">
        <v>26</v>
      </c>
      <c r="C124" s="271">
        <v>26</v>
      </c>
      <c r="D124" s="271">
        <v>30</v>
      </c>
      <c r="E124" s="271">
        <v>30</v>
      </c>
      <c r="G124" s="272">
        <v>0</v>
      </c>
      <c r="O124" s="264">
        <v>0</v>
      </c>
      <c r="R124" s="264">
        <v>0</v>
      </c>
      <c r="S124" s="264">
        <v>0</v>
      </c>
      <c r="T124" s="264">
        <v>0</v>
      </c>
      <c r="U124" s="264">
        <v>0</v>
      </c>
      <c r="V124" s="264">
        <v>0</v>
      </c>
      <c r="W124" s="264">
        <v>0</v>
      </c>
      <c r="X124" s="264">
        <v>0</v>
      </c>
      <c r="Y124" s="264">
        <v>0</v>
      </c>
      <c r="Z124" s="264">
        <v>0</v>
      </c>
      <c r="AA124" s="264">
        <v>0</v>
      </c>
      <c r="AB124" s="264">
        <v>0</v>
      </c>
      <c r="AC124" s="264">
        <v>0</v>
      </c>
      <c r="AD124" s="264">
        <v>0</v>
      </c>
      <c r="AE124" s="264">
        <v>0</v>
      </c>
      <c r="AF124" s="264">
        <v>0</v>
      </c>
      <c r="AG124" s="264">
        <v>0</v>
      </c>
      <c r="AH124" s="264">
        <v>0</v>
      </c>
      <c r="AI124" s="264">
        <v>0</v>
      </c>
      <c r="AJ124" s="264">
        <v>0</v>
      </c>
      <c r="AK124" s="264">
        <v>0</v>
      </c>
    </row>
    <row r="125" spans="2:37" ht="12" hidden="1" customHeight="1" outlineLevel="1">
      <c r="B125" s="271">
        <v>27</v>
      </c>
      <c r="C125" s="271">
        <v>27</v>
      </c>
      <c r="D125" s="271">
        <v>30</v>
      </c>
      <c r="E125" s="271">
        <v>30</v>
      </c>
      <c r="G125" s="272">
        <v>0</v>
      </c>
      <c r="O125" s="264">
        <v>0</v>
      </c>
      <c r="R125" s="264">
        <v>0</v>
      </c>
      <c r="S125" s="264">
        <v>0</v>
      </c>
      <c r="T125" s="264">
        <v>0</v>
      </c>
      <c r="U125" s="264">
        <v>0</v>
      </c>
      <c r="V125" s="264">
        <v>0</v>
      </c>
      <c r="W125" s="264">
        <v>0</v>
      </c>
      <c r="X125" s="264">
        <v>0</v>
      </c>
      <c r="Y125" s="264">
        <v>0</v>
      </c>
      <c r="Z125" s="264">
        <v>0</v>
      </c>
      <c r="AA125" s="264">
        <v>0</v>
      </c>
      <c r="AB125" s="264">
        <v>0</v>
      </c>
      <c r="AC125" s="264">
        <v>0</v>
      </c>
      <c r="AD125" s="264">
        <v>0</v>
      </c>
      <c r="AE125" s="264">
        <v>0</v>
      </c>
      <c r="AF125" s="264">
        <v>0</v>
      </c>
      <c r="AG125" s="264">
        <v>0</v>
      </c>
      <c r="AH125" s="264">
        <v>0</v>
      </c>
      <c r="AI125" s="264">
        <v>0</v>
      </c>
      <c r="AJ125" s="264">
        <v>0</v>
      </c>
      <c r="AK125" s="264">
        <v>0</v>
      </c>
    </row>
    <row r="126" spans="2:37" ht="12" hidden="1" customHeight="1" outlineLevel="1">
      <c r="B126" s="271">
        <v>28</v>
      </c>
      <c r="C126" s="271">
        <v>28</v>
      </c>
      <c r="D126" s="271">
        <v>30</v>
      </c>
      <c r="E126" s="271">
        <v>30</v>
      </c>
      <c r="G126" s="272">
        <v>0</v>
      </c>
      <c r="O126" s="264">
        <v>0</v>
      </c>
      <c r="R126" s="264">
        <v>0</v>
      </c>
      <c r="S126" s="264">
        <v>0</v>
      </c>
      <c r="T126" s="264">
        <v>0</v>
      </c>
      <c r="U126" s="264">
        <v>0</v>
      </c>
      <c r="V126" s="264">
        <v>0</v>
      </c>
      <c r="W126" s="264">
        <v>0</v>
      </c>
      <c r="X126" s="264">
        <v>0</v>
      </c>
      <c r="Y126" s="264">
        <v>0</v>
      </c>
      <c r="Z126" s="264">
        <v>0</v>
      </c>
      <c r="AA126" s="264">
        <v>0</v>
      </c>
      <c r="AB126" s="264">
        <v>0</v>
      </c>
      <c r="AC126" s="264">
        <v>0</v>
      </c>
      <c r="AD126" s="264">
        <v>0</v>
      </c>
      <c r="AE126" s="264">
        <v>0</v>
      </c>
      <c r="AF126" s="264">
        <v>0</v>
      </c>
      <c r="AG126" s="264">
        <v>0</v>
      </c>
      <c r="AH126" s="264">
        <v>0</v>
      </c>
      <c r="AI126" s="264">
        <v>0</v>
      </c>
      <c r="AJ126" s="264">
        <v>0</v>
      </c>
      <c r="AK126" s="264">
        <v>0</v>
      </c>
    </row>
    <row r="127" spans="2:37" ht="12" hidden="1" customHeight="1" outlineLevel="1">
      <c r="B127" s="271">
        <v>29</v>
      </c>
      <c r="C127" s="271">
        <v>29</v>
      </c>
      <c r="D127" s="271">
        <v>30</v>
      </c>
      <c r="E127" s="271">
        <v>30</v>
      </c>
      <c r="G127" s="272">
        <v>0</v>
      </c>
      <c r="O127" s="264">
        <v>0</v>
      </c>
      <c r="R127" s="264">
        <v>0</v>
      </c>
      <c r="S127" s="264">
        <v>0</v>
      </c>
      <c r="T127" s="264">
        <v>0</v>
      </c>
      <c r="U127" s="264">
        <v>0</v>
      </c>
      <c r="V127" s="264">
        <v>0</v>
      </c>
      <c r="W127" s="264">
        <v>0</v>
      </c>
      <c r="X127" s="264">
        <v>0</v>
      </c>
      <c r="Y127" s="264">
        <v>0</v>
      </c>
      <c r="Z127" s="264">
        <v>0</v>
      </c>
      <c r="AA127" s="264">
        <v>0</v>
      </c>
      <c r="AB127" s="264">
        <v>0</v>
      </c>
      <c r="AC127" s="264">
        <v>0</v>
      </c>
      <c r="AD127" s="264">
        <v>0</v>
      </c>
      <c r="AE127" s="264">
        <v>0</v>
      </c>
      <c r="AF127" s="264">
        <v>0</v>
      </c>
      <c r="AG127" s="264">
        <v>0</v>
      </c>
      <c r="AH127" s="264">
        <v>0</v>
      </c>
      <c r="AI127" s="264">
        <v>0</v>
      </c>
      <c r="AJ127" s="264">
        <v>0</v>
      </c>
      <c r="AK127" s="264">
        <v>0</v>
      </c>
    </row>
    <row r="128" spans="2:37" ht="12" hidden="1" customHeight="1" outlineLevel="1">
      <c r="B128" s="271">
        <v>30</v>
      </c>
      <c r="C128" s="271">
        <v>30</v>
      </c>
      <c r="D128" s="271">
        <v>30</v>
      </c>
      <c r="E128" s="271">
        <v>30</v>
      </c>
      <c r="G128" s="272">
        <v>0</v>
      </c>
      <c r="O128" s="264">
        <v>0</v>
      </c>
      <c r="R128" s="264">
        <v>0</v>
      </c>
      <c r="S128" s="264">
        <v>0</v>
      </c>
      <c r="T128" s="264">
        <v>0</v>
      </c>
      <c r="U128" s="264">
        <v>0</v>
      </c>
      <c r="V128" s="264">
        <v>0</v>
      </c>
      <c r="W128" s="264">
        <v>0</v>
      </c>
      <c r="X128" s="264">
        <v>0</v>
      </c>
      <c r="Y128" s="264">
        <v>0</v>
      </c>
      <c r="Z128" s="264">
        <v>0</v>
      </c>
      <c r="AA128" s="264">
        <v>0</v>
      </c>
      <c r="AB128" s="264">
        <v>0</v>
      </c>
      <c r="AC128" s="264">
        <v>0</v>
      </c>
      <c r="AD128" s="264">
        <v>0</v>
      </c>
      <c r="AE128" s="264">
        <v>0</v>
      </c>
      <c r="AF128" s="264">
        <v>0</v>
      </c>
      <c r="AG128" s="264">
        <v>0</v>
      </c>
      <c r="AH128" s="264">
        <v>0</v>
      </c>
      <c r="AI128" s="264">
        <v>0</v>
      </c>
      <c r="AJ128" s="264">
        <v>0</v>
      </c>
      <c r="AK128" s="264">
        <v>0</v>
      </c>
    </row>
    <row r="129" spans="2:37" ht="12" customHeight="1" collapsed="1">
      <c r="B129" s="271"/>
      <c r="C129" s="271"/>
      <c r="D129" s="271"/>
      <c r="E129" s="271"/>
      <c r="G129" s="272"/>
      <c r="O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4"/>
    </row>
    <row r="130" spans="2:37" s="246" customFormat="1" ht="12" customHeight="1">
      <c r="B130" s="269" t="s">
        <v>1</v>
      </c>
      <c r="C130" s="246" t="s">
        <v>237</v>
      </c>
      <c r="G130" s="246">
        <v>30</v>
      </c>
      <c r="H130" s="246" t="s">
        <v>243</v>
      </c>
      <c r="O130" s="270">
        <v>0</v>
      </c>
      <c r="R130" s="270">
        <v>0</v>
      </c>
      <c r="S130" s="270">
        <v>0</v>
      </c>
      <c r="T130" s="270">
        <v>0</v>
      </c>
      <c r="U130" s="270">
        <v>0</v>
      </c>
      <c r="V130" s="270">
        <v>0</v>
      </c>
      <c r="W130" s="270">
        <v>0</v>
      </c>
      <c r="X130" s="270">
        <v>0</v>
      </c>
      <c r="Y130" s="270">
        <v>0</v>
      </c>
      <c r="Z130" s="270">
        <v>0</v>
      </c>
      <c r="AA130" s="270">
        <v>0</v>
      </c>
      <c r="AB130" s="270">
        <v>0</v>
      </c>
      <c r="AC130" s="270">
        <v>0</v>
      </c>
      <c r="AD130" s="270">
        <v>0</v>
      </c>
      <c r="AE130" s="270">
        <v>0</v>
      </c>
      <c r="AF130" s="270">
        <v>0</v>
      </c>
      <c r="AG130" s="270">
        <v>0</v>
      </c>
      <c r="AH130" s="270">
        <v>0</v>
      </c>
      <c r="AI130" s="270">
        <v>0</v>
      </c>
      <c r="AJ130" s="270">
        <v>0</v>
      </c>
      <c r="AK130" s="270">
        <v>0</v>
      </c>
    </row>
    <row r="131" spans="2:37" s="246" customFormat="1" ht="12" customHeight="1">
      <c r="B131" s="269" t="s">
        <v>1</v>
      </c>
      <c r="C131" s="246" t="s">
        <v>247</v>
      </c>
      <c r="M131" s="252" t="s">
        <v>248</v>
      </c>
      <c r="O131" s="270">
        <v>0</v>
      </c>
      <c r="R131" s="270">
        <v>0</v>
      </c>
      <c r="S131" s="270">
        <v>0</v>
      </c>
      <c r="T131" s="270">
        <v>0</v>
      </c>
      <c r="U131" s="270">
        <v>0</v>
      </c>
      <c r="V131" s="270">
        <v>0</v>
      </c>
      <c r="W131" s="270">
        <v>0</v>
      </c>
      <c r="X131" s="270">
        <v>0</v>
      </c>
      <c r="Y131" s="270">
        <v>0</v>
      </c>
      <c r="Z131" s="270">
        <v>0</v>
      </c>
      <c r="AA131" s="270">
        <v>0</v>
      </c>
      <c r="AB131" s="270">
        <v>0</v>
      </c>
      <c r="AC131" s="270">
        <v>0</v>
      </c>
      <c r="AD131" s="270">
        <v>0</v>
      </c>
      <c r="AE131" s="270">
        <v>0</v>
      </c>
      <c r="AF131" s="270">
        <v>0</v>
      </c>
      <c r="AG131" s="270">
        <v>0</v>
      </c>
      <c r="AH131" s="270">
        <v>0</v>
      </c>
      <c r="AI131" s="270">
        <v>0</v>
      </c>
      <c r="AJ131" s="270">
        <v>0</v>
      </c>
      <c r="AK131" s="270">
        <v>0</v>
      </c>
    </row>
    <row r="133" spans="2:37" ht="12" hidden="1" customHeight="1" outlineLevel="1">
      <c r="B133" s="271" t="s">
        <v>249</v>
      </c>
      <c r="C133" s="271" t="s">
        <v>250</v>
      </c>
      <c r="D133" s="271" t="s">
        <v>251</v>
      </c>
      <c r="E133" s="271" t="s">
        <v>252</v>
      </c>
      <c r="G133" s="263" t="s">
        <v>253</v>
      </c>
      <c r="H133" s="271"/>
      <c r="J133" s="271"/>
      <c r="K133" s="271"/>
      <c r="L133" s="271"/>
      <c r="M133" s="271"/>
    </row>
    <row r="134" spans="2:37" ht="12" hidden="1" customHeight="1" outlineLevel="1">
      <c r="B134" s="271">
        <v>0</v>
      </c>
      <c r="C134" s="271">
        <v>0</v>
      </c>
      <c r="D134" s="271">
        <v>4</v>
      </c>
      <c r="E134" s="271">
        <v>5</v>
      </c>
      <c r="G134" s="272">
        <v>0</v>
      </c>
      <c r="R134" s="264">
        <v>0</v>
      </c>
      <c r="S134" s="264">
        <v>0</v>
      </c>
      <c r="T134" s="264">
        <v>0</v>
      </c>
      <c r="U134" s="264">
        <v>0</v>
      </c>
      <c r="V134" s="264">
        <v>0</v>
      </c>
      <c r="W134" s="264">
        <v>0</v>
      </c>
      <c r="X134" s="264">
        <v>0</v>
      </c>
      <c r="Y134" s="264">
        <v>0</v>
      </c>
      <c r="Z134" s="264">
        <v>0</v>
      </c>
      <c r="AA134" s="264">
        <v>0</v>
      </c>
      <c r="AB134" s="264">
        <v>0</v>
      </c>
      <c r="AC134" s="264">
        <v>0</v>
      </c>
      <c r="AD134" s="264">
        <v>0</v>
      </c>
      <c r="AE134" s="264">
        <v>0</v>
      </c>
      <c r="AF134" s="264">
        <v>0</v>
      </c>
      <c r="AG134" s="264">
        <v>0</v>
      </c>
      <c r="AH134" s="264">
        <v>0</v>
      </c>
      <c r="AI134" s="264">
        <v>0</v>
      </c>
      <c r="AJ134" s="264">
        <v>0</v>
      </c>
      <c r="AK134" s="264">
        <v>0</v>
      </c>
    </row>
    <row r="135" spans="2:37" ht="12" hidden="1" customHeight="1" outlineLevel="1">
      <c r="B135" s="271">
        <v>1</v>
      </c>
      <c r="C135" s="271">
        <v>1</v>
      </c>
      <c r="D135" s="271">
        <v>5</v>
      </c>
      <c r="E135" s="271">
        <v>5</v>
      </c>
      <c r="G135" s="272">
        <v>0</v>
      </c>
      <c r="R135" s="264">
        <v>0</v>
      </c>
      <c r="S135" s="264">
        <v>0</v>
      </c>
      <c r="T135" s="264">
        <v>0</v>
      </c>
      <c r="U135" s="264">
        <v>0</v>
      </c>
      <c r="V135" s="264">
        <v>0</v>
      </c>
      <c r="W135" s="264">
        <v>0</v>
      </c>
      <c r="X135" s="264">
        <v>0</v>
      </c>
      <c r="Y135" s="264">
        <v>0</v>
      </c>
      <c r="Z135" s="264">
        <v>0</v>
      </c>
      <c r="AA135" s="264">
        <v>0</v>
      </c>
      <c r="AB135" s="264">
        <v>0</v>
      </c>
      <c r="AC135" s="264">
        <v>0</v>
      </c>
      <c r="AD135" s="264">
        <v>0</v>
      </c>
      <c r="AE135" s="264">
        <v>0</v>
      </c>
      <c r="AF135" s="264">
        <v>0</v>
      </c>
      <c r="AG135" s="264">
        <v>0</v>
      </c>
      <c r="AH135" s="264">
        <v>0</v>
      </c>
      <c r="AI135" s="264">
        <v>0</v>
      </c>
      <c r="AJ135" s="264">
        <v>0</v>
      </c>
      <c r="AK135" s="264">
        <v>0</v>
      </c>
    </row>
    <row r="136" spans="2:37" ht="12" hidden="1" customHeight="1" outlineLevel="1">
      <c r="B136" s="271">
        <v>2</v>
      </c>
      <c r="C136" s="271">
        <v>2</v>
      </c>
      <c r="D136" s="271">
        <v>6</v>
      </c>
      <c r="E136" s="271">
        <v>5</v>
      </c>
      <c r="G136" s="272">
        <v>0</v>
      </c>
      <c r="R136" s="264">
        <v>0</v>
      </c>
      <c r="S136" s="264">
        <v>0</v>
      </c>
      <c r="T136" s="264">
        <v>0</v>
      </c>
      <c r="U136" s="264">
        <v>0</v>
      </c>
      <c r="V136" s="264">
        <v>0</v>
      </c>
      <c r="W136" s="264">
        <v>0</v>
      </c>
      <c r="X136" s="264">
        <v>0</v>
      </c>
      <c r="Y136" s="264">
        <v>0</v>
      </c>
      <c r="Z136" s="264">
        <v>0</v>
      </c>
      <c r="AA136" s="264">
        <v>0</v>
      </c>
      <c r="AB136" s="264">
        <v>0</v>
      </c>
      <c r="AC136" s="264">
        <v>0</v>
      </c>
      <c r="AD136" s="264">
        <v>0</v>
      </c>
      <c r="AE136" s="264">
        <v>0</v>
      </c>
      <c r="AF136" s="264">
        <v>0</v>
      </c>
      <c r="AG136" s="264">
        <v>0</v>
      </c>
      <c r="AH136" s="264">
        <v>0</v>
      </c>
      <c r="AI136" s="264">
        <v>0</v>
      </c>
      <c r="AJ136" s="264">
        <v>0</v>
      </c>
      <c r="AK136" s="264">
        <v>0</v>
      </c>
    </row>
    <row r="137" spans="2:37" ht="12" hidden="1" customHeight="1" outlineLevel="1">
      <c r="B137" s="271">
        <v>3</v>
      </c>
      <c r="C137" s="271">
        <v>3</v>
      </c>
      <c r="D137" s="271">
        <v>7</v>
      </c>
      <c r="E137" s="271">
        <v>5</v>
      </c>
      <c r="G137" s="272">
        <v>0</v>
      </c>
      <c r="R137" s="264">
        <v>0</v>
      </c>
      <c r="S137" s="264">
        <v>0</v>
      </c>
      <c r="T137" s="264">
        <v>0</v>
      </c>
      <c r="U137" s="264">
        <v>0</v>
      </c>
      <c r="V137" s="264">
        <v>0</v>
      </c>
      <c r="W137" s="264">
        <v>0</v>
      </c>
      <c r="X137" s="264">
        <v>0</v>
      </c>
      <c r="Y137" s="264">
        <v>0</v>
      </c>
      <c r="Z137" s="264">
        <v>0</v>
      </c>
      <c r="AA137" s="264">
        <v>0</v>
      </c>
      <c r="AB137" s="264">
        <v>0</v>
      </c>
      <c r="AC137" s="264">
        <v>0</v>
      </c>
      <c r="AD137" s="264">
        <v>0</v>
      </c>
      <c r="AE137" s="264">
        <v>0</v>
      </c>
      <c r="AF137" s="264">
        <v>0</v>
      </c>
      <c r="AG137" s="264">
        <v>0</v>
      </c>
      <c r="AH137" s="264">
        <v>0</v>
      </c>
      <c r="AI137" s="264">
        <v>0</v>
      </c>
      <c r="AJ137" s="264">
        <v>0</v>
      </c>
      <c r="AK137" s="264">
        <v>0</v>
      </c>
    </row>
    <row r="138" spans="2:37" ht="12" hidden="1" customHeight="1" outlineLevel="1">
      <c r="B138" s="271">
        <v>4</v>
      </c>
      <c r="C138" s="271">
        <v>4</v>
      </c>
      <c r="D138" s="271">
        <v>8</v>
      </c>
      <c r="E138" s="271">
        <v>5</v>
      </c>
      <c r="G138" s="272">
        <v>0</v>
      </c>
      <c r="R138" s="264">
        <v>0</v>
      </c>
      <c r="S138" s="264">
        <v>0</v>
      </c>
      <c r="T138" s="264">
        <v>0</v>
      </c>
      <c r="U138" s="264">
        <v>0</v>
      </c>
      <c r="V138" s="264">
        <v>0</v>
      </c>
      <c r="W138" s="264">
        <v>0</v>
      </c>
      <c r="X138" s="264">
        <v>0</v>
      </c>
      <c r="Y138" s="264">
        <v>0</v>
      </c>
      <c r="Z138" s="264">
        <v>0</v>
      </c>
      <c r="AA138" s="264">
        <v>0</v>
      </c>
      <c r="AB138" s="264">
        <v>0</v>
      </c>
      <c r="AC138" s="264">
        <v>0</v>
      </c>
      <c r="AD138" s="264">
        <v>0</v>
      </c>
      <c r="AE138" s="264">
        <v>0</v>
      </c>
      <c r="AF138" s="264">
        <v>0</v>
      </c>
      <c r="AG138" s="264">
        <v>0</v>
      </c>
      <c r="AH138" s="264">
        <v>0</v>
      </c>
      <c r="AI138" s="264">
        <v>0</v>
      </c>
      <c r="AJ138" s="264">
        <v>0</v>
      </c>
      <c r="AK138" s="264">
        <v>0</v>
      </c>
    </row>
    <row r="139" spans="2:37" ht="12" hidden="1" customHeight="1" outlineLevel="1">
      <c r="B139" s="271">
        <v>5</v>
      </c>
      <c r="C139" s="271">
        <v>5</v>
      </c>
      <c r="D139" s="271">
        <v>9</v>
      </c>
      <c r="E139" s="271">
        <v>5</v>
      </c>
      <c r="G139" s="272">
        <v>0</v>
      </c>
      <c r="R139" s="264">
        <v>0</v>
      </c>
      <c r="S139" s="264">
        <v>0</v>
      </c>
      <c r="T139" s="264">
        <v>0</v>
      </c>
      <c r="U139" s="264">
        <v>0</v>
      </c>
      <c r="V139" s="264">
        <v>0</v>
      </c>
      <c r="W139" s="264">
        <v>0</v>
      </c>
      <c r="X139" s="264">
        <v>0</v>
      </c>
      <c r="Y139" s="264">
        <v>0</v>
      </c>
      <c r="Z139" s="264">
        <v>0</v>
      </c>
      <c r="AA139" s="264">
        <v>0</v>
      </c>
      <c r="AB139" s="264">
        <v>0</v>
      </c>
      <c r="AC139" s="264">
        <v>0</v>
      </c>
      <c r="AD139" s="264">
        <v>0</v>
      </c>
      <c r="AE139" s="264">
        <v>0</v>
      </c>
      <c r="AF139" s="264">
        <v>0</v>
      </c>
      <c r="AG139" s="264">
        <v>0</v>
      </c>
      <c r="AH139" s="264">
        <v>0</v>
      </c>
      <c r="AI139" s="264">
        <v>0</v>
      </c>
      <c r="AJ139" s="264">
        <v>0</v>
      </c>
      <c r="AK139" s="264">
        <v>0</v>
      </c>
    </row>
    <row r="140" spans="2:37" ht="12" hidden="1" customHeight="1" outlineLevel="1">
      <c r="B140" s="271">
        <v>6</v>
      </c>
      <c r="C140" s="271">
        <v>6</v>
      </c>
      <c r="D140" s="271">
        <v>10</v>
      </c>
      <c r="E140" s="271">
        <v>5</v>
      </c>
      <c r="G140" s="272">
        <v>0</v>
      </c>
      <c r="R140" s="264">
        <v>0</v>
      </c>
      <c r="S140" s="264">
        <v>0</v>
      </c>
      <c r="T140" s="264">
        <v>0</v>
      </c>
      <c r="U140" s="264">
        <v>0</v>
      </c>
      <c r="V140" s="264">
        <v>0</v>
      </c>
      <c r="W140" s="264">
        <v>0</v>
      </c>
      <c r="X140" s="264">
        <v>0</v>
      </c>
      <c r="Y140" s="264">
        <v>0</v>
      </c>
      <c r="Z140" s="264">
        <v>0</v>
      </c>
      <c r="AA140" s="264">
        <v>0</v>
      </c>
      <c r="AB140" s="264">
        <v>0</v>
      </c>
      <c r="AC140" s="264">
        <v>0</v>
      </c>
      <c r="AD140" s="264">
        <v>0</v>
      </c>
      <c r="AE140" s="264">
        <v>0</v>
      </c>
      <c r="AF140" s="264">
        <v>0</v>
      </c>
      <c r="AG140" s="264">
        <v>0</v>
      </c>
      <c r="AH140" s="264">
        <v>0</v>
      </c>
      <c r="AI140" s="264">
        <v>0</v>
      </c>
      <c r="AJ140" s="264">
        <v>0</v>
      </c>
      <c r="AK140" s="264">
        <v>0</v>
      </c>
    </row>
    <row r="141" spans="2:37" ht="12" hidden="1" customHeight="1" outlineLevel="1">
      <c r="B141" s="271">
        <v>7</v>
      </c>
      <c r="C141" s="271">
        <v>7</v>
      </c>
      <c r="D141" s="271">
        <v>11</v>
      </c>
      <c r="E141" s="271">
        <v>5</v>
      </c>
      <c r="G141" s="272">
        <v>0</v>
      </c>
      <c r="R141" s="264">
        <v>0</v>
      </c>
      <c r="S141" s="264">
        <v>0</v>
      </c>
      <c r="T141" s="264">
        <v>0</v>
      </c>
      <c r="U141" s="264">
        <v>0</v>
      </c>
      <c r="V141" s="264">
        <v>0</v>
      </c>
      <c r="W141" s="264">
        <v>0</v>
      </c>
      <c r="X141" s="264">
        <v>0</v>
      </c>
      <c r="Y141" s="264">
        <v>0</v>
      </c>
      <c r="Z141" s="264">
        <v>0</v>
      </c>
      <c r="AA141" s="264">
        <v>0</v>
      </c>
      <c r="AB141" s="264">
        <v>0</v>
      </c>
      <c r="AC141" s="264">
        <v>0</v>
      </c>
      <c r="AD141" s="264">
        <v>0</v>
      </c>
      <c r="AE141" s="264">
        <v>0</v>
      </c>
      <c r="AF141" s="264">
        <v>0</v>
      </c>
      <c r="AG141" s="264">
        <v>0</v>
      </c>
      <c r="AH141" s="264">
        <v>0</v>
      </c>
      <c r="AI141" s="264">
        <v>0</v>
      </c>
      <c r="AJ141" s="264">
        <v>0</v>
      </c>
      <c r="AK141" s="264">
        <v>0</v>
      </c>
    </row>
    <row r="142" spans="2:37" ht="12" hidden="1" customHeight="1" outlineLevel="1">
      <c r="B142" s="271">
        <v>8</v>
      </c>
      <c r="C142" s="271">
        <v>8</v>
      </c>
      <c r="D142" s="271">
        <v>12</v>
      </c>
      <c r="E142" s="271">
        <v>5</v>
      </c>
      <c r="G142" s="272">
        <v>0</v>
      </c>
      <c r="R142" s="264">
        <v>0</v>
      </c>
      <c r="S142" s="264">
        <v>0</v>
      </c>
      <c r="T142" s="264">
        <v>0</v>
      </c>
      <c r="U142" s="264">
        <v>0</v>
      </c>
      <c r="V142" s="264">
        <v>0</v>
      </c>
      <c r="W142" s="264">
        <v>0</v>
      </c>
      <c r="X142" s="264">
        <v>0</v>
      </c>
      <c r="Y142" s="264">
        <v>0</v>
      </c>
      <c r="Z142" s="264">
        <v>0</v>
      </c>
      <c r="AA142" s="264">
        <v>0</v>
      </c>
      <c r="AB142" s="264">
        <v>0</v>
      </c>
      <c r="AC142" s="264">
        <v>0</v>
      </c>
      <c r="AD142" s="264">
        <v>0</v>
      </c>
      <c r="AE142" s="264">
        <v>0</v>
      </c>
      <c r="AF142" s="264">
        <v>0</v>
      </c>
      <c r="AG142" s="264">
        <v>0</v>
      </c>
      <c r="AH142" s="264">
        <v>0</v>
      </c>
      <c r="AI142" s="264">
        <v>0</v>
      </c>
      <c r="AJ142" s="264">
        <v>0</v>
      </c>
      <c r="AK142" s="264">
        <v>0</v>
      </c>
    </row>
    <row r="143" spans="2:37" ht="12" hidden="1" customHeight="1" outlineLevel="1">
      <c r="B143" s="271">
        <v>9</v>
      </c>
      <c r="C143" s="271">
        <v>9</v>
      </c>
      <c r="D143" s="271">
        <v>13</v>
      </c>
      <c r="E143" s="271">
        <v>5</v>
      </c>
      <c r="G143" s="272">
        <v>0</v>
      </c>
      <c r="R143" s="264">
        <v>0</v>
      </c>
      <c r="S143" s="264">
        <v>0</v>
      </c>
      <c r="T143" s="264">
        <v>0</v>
      </c>
      <c r="U143" s="264">
        <v>0</v>
      </c>
      <c r="V143" s="264">
        <v>0</v>
      </c>
      <c r="W143" s="264">
        <v>0</v>
      </c>
      <c r="X143" s="264">
        <v>0</v>
      </c>
      <c r="Y143" s="264">
        <v>0</v>
      </c>
      <c r="Z143" s="264">
        <v>0</v>
      </c>
      <c r="AA143" s="264">
        <v>0</v>
      </c>
      <c r="AB143" s="264">
        <v>0</v>
      </c>
      <c r="AC143" s="264">
        <v>0</v>
      </c>
      <c r="AD143" s="264">
        <v>0</v>
      </c>
      <c r="AE143" s="264">
        <v>0</v>
      </c>
      <c r="AF143" s="264">
        <v>0</v>
      </c>
      <c r="AG143" s="264">
        <v>0</v>
      </c>
      <c r="AH143" s="264">
        <v>0</v>
      </c>
      <c r="AI143" s="264">
        <v>0</v>
      </c>
      <c r="AJ143" s="264">
        <v>0</v>
      </c>
      <c r="AK143" s="264">
        <v>0</v>
      </c>
    </row>
    <row r="144" spans="2:37" ht="12" hidden="1" customHeight="1" outlineLevel="1">
      <c r="B144" s="271">
        <v>10</v>
      </c>
      <c r="C144" s="271">
        <v>10</v>
      </c>
      <c r="D144" s="271">
        <v>14</v>
      </c>
      <c r="E144" s="271">
        <v>5</v>
      </c>
      <c r="G144" s="272">
        <v>0</v>
      </c>
      <c r="R144" s="264">
        <v>0</v>
      </c>
      <c r="S144" s="264">
        <v>0</v>
      </c>
      <c r="T144" s="264">
        <v>0</v>
      </c>
      <c r="U144" s="264">
        <v>0</v>
      </c>
      <c r="V144" s="264">
        <v>0</v>
      </c>
      <c r="W144" s="264">
        <v>0</v>
      </c>
      <c r="X144" s="264">
        <v>0</v>
      </c>
      <c r="Y144" s="264">
        <v>0</v>
      </c>
      <c r="Z144" s="264">
        <v>0</v>
      </c>
      <c r="AA144" s="264">
        <v>0</v>
      </c>
      <c r="AB144" s="264">
        <v>0</v>
      </c>
      <c r="AC144" s="264">
        <v>0</v>
      </c>
      <c r="AD144" s="264">
        <v>0</v>
      </c>
      <c r="AE144" s="264">
        <v>0</v>
      </c>
      <c r="AF144" s="264">
        <v>0</v>
      </c>
      <c r="AG144" s="264">
        <v>0</v>
      </c>
      <c r="AH144" s="264">
        <v>0</v>
      </c>
      <c r="AI144" s="264">
        <v>0</v>
      </c>
      <c r="AJ144" s="264">
        <v>0</v>
      </c>
      <c r="AK144" s="264">
        <v>0</v>
      </c>
    </row>
    <row r="145" spans="2:37" ht="12" hidden="1" customHeight="1" outlineLevel="1">
      <c r="B145" s="271">
        <v>11</v>
      </c>
      <c r="C145" s="271">
        <v>11</v>
      </c>
      <c r="D145" s="271">
        <v>15</v>
      </c>
      <c r="E145" s="271">
        <v>5</v>
      </c>
      <c r="G145" s="272">
        <v>0</v>
      </c>
      <c r="R145" s="264">
        <v>0</v>
      </c>
      <c r="S145" s="264">
        <v>0</v>
      </c>
      <c r="T145" s="264">
        <v>0</v>
      </c>
      <c r="U145" s="264">
        <v>0</v>
      </c>
      <c r="V145" s="264">
        <v>0</v>
      </c>
      <c r="W145" s="264">
        <v>0</v>
      </c>
      <c r="X145" s="264">
        <v>0</v>
      </c>
      <c r="Y145" s="264">
        <v>0</v>
      </c>
      <c r="Z145" s="264">
        <v>0</v>
      </c>
      <c r="AA145" s="264">
        <v>0</v>
      </c>
      <c r="AB145" s="264">
        <v>0</v>
      </c>
      <c r="AC145" s="264">
        <v>0</v>
      </c>
      <c r="AD145" s="264">
        <v>0</v>
      </c>
      <c r="AE145" s="264">
        <v>0</v>
      </c>
      <c r="AF145" s="264">
        <v>0</v>
      </c>
      <c r="AG145" s="264">
        <v>0</v>
      </c>
      <c r="AH145" s="264">
        <v>0</v>
      </c>
      <c r="AI145" s="264">
        <v>0</v>
      </c>
      <c r="AJ145" s="264">
        <v>0</v>
      </c>
      <c r="AK145" s="264">
        <v>0</v>
      </c>
    </row>
    <row r="146" spans="2:37" ht="12" hidden="1" customHeight="1" outlineLevel="1">
      <c r="B146" s="271">
        <v>12</v>
      </c>
      <c r="C146" s="271">
        <v>12</v>
      </c>
      <c r="D146" s="271">
        <v>16</v>
      </c>
      <c r="E146" s="271">
        <v>5</v>
      </c>
      <c r="G146" s="272">
        <v>0</v>
      </c>
      <c r="R146" s="264">
        <v>0</v>
      </c>
      <c r="S146" s="264">
        <v>0</v>
      </c>
      <c r="T146" s="264">
        <v>0</v>
      </c>
      <c r="U146" s="264">
        <v>0</v>
      </c>
      <c r="V146" s="264">
        <v>0</v>
      </c>
      <c r="W146" s="264">
        <v>0</v>
      </c>
      <c r="X146" s="264">
        <v>0</v>
      </c>
      <c r="Y146" s="264">
        <v>0</v>
      </c>
      <c r="Z146" s="264">
        <v>0</v>
      </c>
      <c r="AA146" s="264">
        <v>0</v>
      </c>
      <c r="AB146" s="264">
        <v>0</v>
      </c>
      <c r="AC146" s="264">
        <v>0</v>
      </c>
      <c r="AD146" s="264">
        <v>0</v>
      </c>
      <c r="AE146" s="264">
        <v>0</v>
      </c>
      <c r="AF146" s="264">
        <v>0</v>
      </c>
      <c r="AG146" s="264">
        <v>0</v>
      </c>
      <c r="AH146" s="264">
        <v>0</v>
      </c>
      <c r="AI146" s="264">
        <v>0</v>
      </c>
      <c r="AJ146" s="264">
        <v>0</v>
      </c>
      <c r="AK146" s="264">
        <v>0</v>
      </c>
    </row>
    <row r="147" spans="2:37" ht="12" hidden="1" customHeight="1" outlineLevel="1">
      <c r="B147" s="271">
        <v>13</v>
      </c>
      <c r="C147" s="271">
        <v>13</v>
      </c>
      <c r="D147" s="271">
        <v>17</v>
      </c>
      <c r="E147" s="271">
        <v>5</v>
      </c>
      <c r="G147" s="272">
        <v>0</v>
      </c>
      <c r="R147" s="264">
        <v>0</v>
      </c>
      <c r="S147" s="264">
        <v>0</v>
      </c>
      <c r="T147" s="264">
        <v>0</v>
      </c>
      <c r="U147" s="264">
        <v>0</v>
      </c>
      <c r="V147" s="264">
        <v>0</v>
      </c>
      <c r="W147" s="264">
        <v>0</v>
      </c>
      <c r="X147" s="264">
        <v>0</v>
      </c>
      <c r="Y147" s="264">
        <v>0</v>
      </c>
      <c r="Z147" s="264">
        <v>0</v>
      </c>
      <c r="AA147" s="264">
        <v>0</v>
      </c>
      <c r="AB147" s="264">
        <v>0</v>
      </c>
      <c r="AC147" s="264">
        <v>0</v>
      </c>
      <c r="AD147" s="264">
        <v>0</v>
      </c>
      <c r="AE147" s="264">
        <v>0</v>
      </c>
      <c r="AF147" s="264">
        <v>0</v>
      </c>
      <c r="AG147" s="264">
        <v>0</v>
      </c>
      <c r="AH147" s="264">
        <v>0</v>
      </c>
      <c r="AI147" s="264">
        <v>0</v>
      </c>
      <c r="AJ147" s="264">
        <v>0</v>
      </c>
      <c r="AK147" s="264">
        <v>0</v>
      </c>
    </row>
    <row r="148" spans="2:37" ht="12" hidden="1" customHeight="1" outlineLevel="1">
      <c r="B148" s="271">
        <v>14</v>
      </c>
      <c r="C148" s="271">
        <v>14</v>
      </c>
      <c r="D148" s="271">
        <v>18</v>
      </c>
      <c r="E148" s="271">
        <v>5</v>
      </c>
      <c r="G148" s="272">
        <v>0</v>
      </c>
      <c r="R148" s="264">
        <v>0</v>
      </c>
      <c r="S148" s="264">
        <v>0</v>
      </c>
      <c r="T148" s="264">
        <v>0</v>
      </c>
      <c r="U148" s="264">
        <v>0</v>
      </c>
      <c r="V148" s="264">
        <v>0</v>
      </c>
      <c r="W148" s="264">
        <v>0</v>
      </c>
      <c r="X148" s="264">
        <v>0</v>
      </c>
      <c r="Y148" s="264">
        <v>0</v>
      </c>
      <c r="Z148" s="264">
        <v>0</v>
      </c>
      <c r="AA148" s="264">
        <v>0</v>
      </c>
      <c r="AB148" s="264">
        <v>0</v>
      </c>
      <c r="AC148" s="264">
        <v>0</v>
      </c>
      <c r="AD148" s="264">
        <v>0</v>
      </c>
      <c r="AE148" s="264">
        <v>0</v>
      </c>
      <c r="AF148" s="264">
        <v>0</v>
      </c>
      <c r="AG148" s="264">
        <v>0</v>
      </c>
      <c r="AH148" s="264">
        <v>0</v>
      </c>
      <c r="AI148" s="264">
        <v>0</v>
      </c>
      <c r="AJ148" s="264">
        <v>0</v>
      </c>
      <c r="AK148" s="264">
        <v>0</v>
      </c>
    </row>
    <row r="149" spans="2:37" ht="12" hidden="1" customHeight="1" outlineLevel="1">
      <c r="B149" s="271">
        <v>15</v>
      </c>
      <c r="C149" s="271">
        <v>15</v>
      </c>
      <c r="D149" s="271">
        <v>19</v>
      </c>
      <c r="E149" s="271">
        <v>5</v>
      </c>
      <c r="G149" s="272">
        <v>0</v>
      </c>
      <c r="R149" s="264">
        <v>0</v>
      </c>
      <c r="S149" s="264">
        <v>0</v>
      </c>
      <c r="T149" s="264">
        <v>0</v>
      </c>
      <c r="U149" s="264">
        <v>0</v>
      </c>
      <c r="V149" s="264">
        <v>0</v>
      </c>
      <c r="W149" s="264">
        <v>0</v>
      </c>
      <c r="X149" s="264">
        <v>0</v>
      </c>
      <c r="Y149" s="264">
        <v>0</v>
      </c>
      <c r="Z149" s="264">
        <v>0</v>
      </c>
      <c r="AA149" s="264">
        <v>0</v>
      </c>
      <c r="AB149" s="264">
        <v>0</v>
      </c>
      <c r="AC149" s="264">
        <v>0</v>
      </c>
      <c r="AD149" s="264">
        <v>0</v>
      </c>
      <c r="AE149" s="264">
        <v>0</v>
      </c>
      <c r="AF149" s="264">
        <v>0</v>
      </c>
      <c r="AG149" s="264">
        <v>0</v>
      </c>
      <c r="AH149" s="264">
        <v>0</v>
      </c>
      <c r="AI149" s="264">
        <v>0</v>
      </c>
      <c r="AJ149" s="264">
        <v>0</v>
      </c>
      <c r="AK149" s="264">
        <v>0</v>
      </c>
    </row>
    <row r="150" spans="2:37" ht="12" hidden="1" customHeight="1" outlineLevel="1">
      <c r="B150" s="271">
        <v>16</v>
      </c>
      <c r="C150" s="271">
        <v>16</v>
      </c>
      <c r="D150" s="271">
        <v>20</v>
      </c>
      <c r="E150" s="271">
        <v>5</v>
      </c>
      <c r="G150" s="272">
        <v>0</v>
      </c>
      <c r="R150" s="264">
        <v>0</v>
      </c>
      <c r="S150" s="264">
        <v>0</v>
      </c>
      <c r="T150" s="264">
        <v>0</v>
      </c>
      <c r="U150" s="264">
        <v>0</v>
      </c>
      <c r="V150" s="264">
        <v>0</v>
      </c>
      <c r="W150" s="264">
        <v>0</v>
      </c>
      <c r="X150" s="264">
        <v>0</v>
      </c>
      <c r="Y150" s="264">
        <v>0</v>
      </c>
      <c r="Z150" s="264">
        <v>0</v>
      </c>
      <c r="AA150" s="264">
        <v>0</v>
      </c>
      <c r="AB150" s="264">
        <v>0</v>
      </c>
      <c r="AC150" s="264">
        <v>0</v>
      </c>
      <c r="AD150" s="264">
        <v>0</v>
      </c>
      <c r="AE150" s="264">
        <v>0</v>
      </c>
      <c r="AF150" s="264">
        <v>0</v>
      </c>
      <c r="AG150" s="264">
        <v>0</v>
      </c>
      <c r="AH150" s="264">
        <v>0</v>
      </c>
      <c r="AI150" s="264">
        <v>0</v>
      </c>
      <c r="AJ150" s="264">
        <v>0</v>
      </c>
      <c r="AK150" s="264">
        <v>0</v>
      </c>
    </row>
    <row r="151" spans="2:37" ht="12" hidden="1" customHeight="1" outlineLevel="1">
      <c r="B151" s="271">
        <v>17</v>
      </c>
      <c r="C151" s="271">
        <v>17</v>
      </c>
      <c r="D151" s="271">
        <v>21</v>
      </c>
      <c r="E151" s="271">
        <v>5</v>
      </c>
      <c r="G151" s="272">
        <v>0</v>
      </c>
      <c r="R151" s="264">
        <v>0</v>
      </c>
      <c r="S151" s="264">
        <v>0</v>
      </c>
      <c r="T151" s="264">
        <v>0</v>
      </c>
      <c r="U151" s="264">
        <v>0</v>
      </c>
      <c r="V151" s="264">
        <v>0</v>
      </c>
      <c r="W151" s="264">
        <v>0</v>
      </c>
      <c r="X151" s="264">
        <v>0</v>
      </c>
      <c r="Y151" s="264">
        <v>0</v>
      </c>
      <c r="Z151" s="264">
        <v>0</v>
      </c>
      <c r="AA151" s="264">
        <v>0</v>
      </c>
      <c r="AB151" s="264">
        <v>0</v>
      </c>
      <c r="AC151" s="264">
        <v>0</v>
      </c>
      <c r="AD151" s="264">
        <v>0</v>
      </c>
      <c r="AE151" s="264">
        <v>0</v>
      </c>
      <c r="AF151" s="264">
        <v>0</v>
      </c>
      <c r="AG151" s="264">
        <v>0</v>
      </c>
      <c r="AH151" s="264">
        <v>0</v>
      </c>
      <c r="AI151" s="264">
        <v>0</v>
      </c>
      <c r="AJ151" s="264">
        <v>0</v>
      </c>
      <c r="AK151" s="264">
        <v>0</v>
      </c>
    </row>
    <row r="152" spans="2:37" ht="12" hidden="1" customHeight="1" outlineLevel="1">
      <c r="B152" s="271">
        <v>18</v>
      </c>
      <c r="C152" s="271">
        <v>18</v>
      </c>
      <c r="D152" s="271">
        <v>22</v>
      </c>
      <c r="E152" s="271">
        <v>5</v>
      </c>
      <c r="G152" s="272">
        <v>0</v>
      </c>
      <c r="R152" s="264">
        <v>0</v>
      </c>
      <c r="S152" s="264">
        <v>0</v>
      </c>
      <c r="T152" s="264">
        <v>0</v>
      </c>
      <c r="U152" s="264">
        <v>0</v>
      </c>
      <c r="V152" s="264">
        <v>0</v>
      </c>
      <c r="W152" s="264">
        <v>0</v>
      </c>
      <c r="X152" s="264">
        <v>0</v>
      </c>
      <c r="Y152" s="264">
        <v>0</v>
      </c>
      <c r="Z152" s="264">
        <v>0</v>
      </c>
      <c r="AA152" s="264">
        <v>0</v>
      </c>
      <c r="AB152" s="264">
        <v>0</v>
      </c>
      <c r="AC152" s="264">
        <v>0</v>
      </c>
      <c r="AD152" s="264">
        <v>0</v>
      </c>
      <c r="AE152" s="264">
        <v>0</v>
      </c>
      <c r="AF152" s="264">
        <v>0</v>
      </c>
      <c r="AG152" s="264">
        <v>0</v>
      </c>
      <c r="AH152" s="264">
        <v>0</v>
      </c>
      <c r="AI152" s="264">
        <v>0</v>
      </c>
      <c r="AJ152" s="264">
        <v>0</v>
      </c>
      <c r="AK152" s="264">
        <v>0</v>
      </c>
    </row>
    <row r="153" spans="2:37" ht="12" hidden="1" customHeight="1" outlineLevel="1">
      <c r="B153" s="271">
        <v>19</v>
      </c>
      <c r="C153" s="271">
        <v>19</v>
      </c>
      <c r="D153" s="271">
        <v>23</v>
      </c>
      <c r="E153" s="271">
        <v>5</v>
      </c>
      <c r="G153" s="272">
        <v>0</v>
      </c>
      <c r="R153" s="264">
        <v>0</v>
      </c>
      <c r="S153" s="264">
        <v>0</v>
      </c>
      <c r="T153" s="264">
        <v>0</v>
      </c>
      <c r="U153" s="264">
        <v>0</v>
      </c>
      <c r="V153" s="264">
        <v>0</v>
      </c>
      <c r="W153" s="264">
        <v>0</v>
      </c>
      <c r="X153" s="264">
        <v>0</v>
      </c>
      <c r="Y153" s="264">
        <v>0</v>
      </c>
      <c r="Z153" s="264">
        <v>0</v>
      </c>
      <c r="AA153" s="264">
        <v>0</v>
      </c>
      <c r="AB153" s="264">
        <v>0</v>
      </c>
      <c r="AC153" s="264">
        <v>0</v>
      </c>
      <c r="AD153" s="264">
        <v>0</v>
      </c>
      <c r="AE153" s="264">
        <v>0</v>
      </c>
      <c r="AF153" s="264">
        <v>0</v>
      </c>
      <c r="AG153" s="264">
        <v>0</v>
      </c>
      <c r="AH153" s="264">
        <v>0</v>
      </c>
      <c r="AI153" s="264">
        <v>0</v>
      </c>
      <c r="AJ153" s="264">
        <v>0</v>
      </c>
      <c r="AK153" s="264">
        <v>0</v>
      </c>
    </row>
    <row r="154" spans="2:37" ht="12" hidden="1" customHeight="1" outlineLevel="1">
      <c r="B154" s="271">
        <v>20</v>
      </c>
      <c r="C154" s="271">
        <v>20</v>
      </c>
      <c r="D154" s="271">
        <v>24</v>
      </c>
      <c r="E154" s="271">
        <v>5</v>
      </c>
      <c r="G154" s="272">
        <v>0</v>
      </c>
      <c r="R154" s="264">
        <v>0</v>
      </c>
      <c r="S154" s="264">
        <v>0</v>
      </c>
      <c r="T154" s="264">
        <v>0</v>
      </c>
      <c r="U154" s="264">
        <v>0</v>
      </c>
      <c r="V154" s="264">
        <v>0</v>
      </c>
      <c r="W154" s="264">
        <v>0</v>
      </c>
      <c r="X154" s="264">
        <v>0</v>
      </c>
      <c r="Y154" s="264">
        <v>0</v>
      </c>
      <c r="Z154" s="264">
        <v>0</v>
      </c>
      <c r="AA154" s="264">
        <v>0</v>
      </c>
      <c r="AB154" s="264">
        <v>0</v>
      </c>
      <c r="AC154" s="264">
        <v>0</v>
      </c>
      <c r="AD154" s="264">
        <v>0</v>
      </c>
      <c r="AE154" s="264">
        <v>0</v>
      </c>
      <c r="AF154" s="264">
        <v>0</v>
      </c>
      <c r="AG154" s="264">
        <v>0</v>
      </c>
      <c r="AH154" s="264">
        <v>0</v>
      </c>
      <c r="AI154" s="264">
        <v>0</v>
      </c>
      <c r="AJ154" s="264">
        <v>0</v>
      </c>
      <c r="AK154" s="264">
        <v>0</v>
      </c>
    </row>
    <row r="155" spans="2:37" ht="12" hidden="1" customHeight="1" outlineLevel="1">
      <c r="B155" s="271">
        <v>21</v>
      </c>
      <c r="C155" s="271">
        <v>21</v>
      </c>
      <c r="D155" s="271">
        <v>25</v>
      </c>
      <c r="E155" s="271">
        <v>5</v>
      </c>
      <c r="G155" s="272">
        <v>0</v>
      </c>
      <c r="R155" s="264">
        <v>0</v>
      </c>
      <c r="S155" s="264">
        <v>0</v>
      </c>
      <c r="T155" s="264">
        <v>0</v>
      </c>
      <c r="U155" s="264">
        <v>0</v>
      </c>
      <c r="V155" s="264">
        <v>0</v>
      </c>
      <c r="W155" s="264">
        <v>0</v>
      </c>
      <c r="X155" s="264">
        <v>0</v>
      </c>
      <c r="Y155" s="264">
        <v>0</v>
      </c>
      <c r="Z155" s="264">
        <v>0</v>
      </c>
      <c r="AA155" s="264">
        <v>0</v>
      </c>
      <c r="AB155" s="264">
        <v>0</v>
      </c>
      <c r="AC155" s="264">
        <v>0</v>
      </c>
      <c r="AD155" s="264">
        <v>0</v>
      </c>
      <c r="AE155" s="264">
        <v>0</v>
      </c>
      <c r="AF155" s="264">
        <v>0</v>
      </c>
      <c r="AG155" s="264">
        <v>0</v>
      </c>
      <c r="AH155" s="264">
        <v>0</v>
      </c>
      <c r="AI155" s="264">
        <v>0</v>
      </c>
      <c r="AJ155" s="264">
        <v>0</v>
      </c>
      <c r="AK155" s="264">
        <v>0</v>
      </c>
    </row>
    <row r="156" spans="2:37" ht="12" hidden="1" customHeight="1" outlineLevel="1">
      <c r="B156" s="271">
        <v>22</v>
      </c>
      <c r="C156" s="271">
        <v>22</v>
      </c>
      <c r="D156" s="271">
        <v>26</v>
      </c>
      <c r="E156" s="271">
        <v>5</v>
      </c>
      <c r="G156" s="272">
        <v>0</v>
      </c>
      <c r="R156" s="264">
        <v>0</v>
      </c>
      <c r="S156" s="264">
        <v>0</v>
      </c>
      <c r="T156" s="264">
        <v>0</v>
      </c>
      <c r="U156" s="264">
        <v>0</v>
      </c>
      <c r="V156" s="264">
        <v>0</v>
      </c>
      <c r="W156" s="264">
        <v>0</v>
      </c>
      <c r="X156" s="264">
        <v>0</v>
      </c>
      <c r="Y156" s="264">
        <v>0</v>
      </c>
      <c r="Z156" s="264">
        <v>0</v>
      </c>
      <c r="AA156" s="264">
        <v>0</v>
      </c>
      <c r="AB156" s="264">
        <v>0</v>
      </c>
      <c r="AC156" s="264">
        <v>0</v>
      </c>
      <c r="AD156" s="264">
        <v>0</v>
      </c>
      <c r="AE156" s="264">
        <v>0</v>
      </c>
      <c r="AF156" s="264">
        <v>0</v>
      </c>
      <c r="AG156" s="264">
        <v>0</v>
      </c>
      <c r="AH156" s="264">
        <v>0</v>
      </c>
      <c r="AI156" s="264">
        <v>0</v>
      </c>
      <c r="AJ156" s="264">
        <v>0</v>
      </c>
      <c r="AK156" s="264">
        <v>0</v>
      </c>
    </row>
    <row r="157" spans="2:37" ht="12" hidden="1" customHeight="1" outlineLevel="1">
      <c r="B157" s="271">
        <v>23</v>
      </c>
      <c r="C157" s="271">
        <v>23</v>
      </c>
      <c r="D157" s="271">
        <v>27</v>
      </c>
      <c r="E157" s="271">
        <v>5</v>
      </c>
      <c r="G157" s="272">
        <v>0</v>
      </c>
      <c r="R157" s="264">
        <v>0</v>
      </c>
      <c r="S157" s="264">
        <v>0</v>
      </c>
      <c r="T157" s="264">
        <v>0</v>
      </c>
      <c r="U157" s="264">
        <v>0</v>
      </c>
      <c r="V157" s="264">
        <v>0</v>
      </c>
      <c r="W157" s="264">
        <v>0</v>
      </c>
      <c r="X157" s="264">
        <v>0</v>
      </c>
      <c r="Y157" s="264">
        <v>0</v>
      </c>
      <c r="Z157" s="264">
        <v>0</v>
      </c>
      <c r="AA157" s="264">
        <v>0</v>
      </c>
      <c r="AB157" s="264">
        <v>0</v>
      </c>
      <c r="AC157" s="264">
        <v>0</v>
      </c>
      <c r="AD157" s="264">
        <v>0</v>
      </c>
      <c r="AE157" s="264">
        <v>0</v>
      </c>
      <c r="AF157" s="264">
        <v>0</v>
      </c>
      <c r="AG157" s="264">
        <v>0</v>
      </c>
      <c r="AH157" s="264">
        <v>0</v>
      </c>
      <c r="AI157" s="264">
        <v>0</v>
      </c>
      <c r="AJ157" s="264">
        <v>0</v>
      </c>
      <c r="AK157" s="264">
        <v>0</v>
      </c>
    </row>
    <row r="158" spans="2:37" ht="12" hidden="1" customHeight="1" outlineLevel="1">
      <c r="B158" s="271">
        <v>24</v>
      </c>
      <c r="C158" s="271">
        <v>24</v>
      </c>
      <c r="D158" s="271">
        <v>28</v>
      </c>
      <c r="E158" s="271">
        <v>5</v>
      </c>
      <c r="G158" s="272">
        <v>0</v>
      </c>
      <c r="R158" s="264">
        <v>0</v>
      </c>
      <c r="S158" s="264">
        <v>0</v>
      </c>
      <c r="T158" s="264">
        <v>0</v>
      </c>
      <c r="U158" s="264">
        <v>0</v>
      </c>
      <c r="V158" s="264">
        <v>0</v>
      </c>
      <c r="W158" s="264">
        <v>0</v>
      </c>
      <c r="X158" s="264">
        <v>0</v>
      </c>
      <c r="Y158" s="264">
        <v>0</v>
      </c>
      <c r="Z158" s="264">
        <v>0</v>
      </c>
      <c r="AA158" s="264">
        <v>0</v>
      </c>
      <c r="AB158" s="264">
        <v>0</v>
      </c>
      <c r="AC158" s="264">
        <v>0</v>
      </c>
      <c r="AD158" s="264">
        <v>0</v>
      </c>
      <c r="AE158" s="264">
        <v>0</v>
      </c>
      <c r="AF158" s="264">
        <v>0</v>
      </c>
      <c r="AG158" s="264">
        <v>0</v>
      </c>
      <c r="AH158" s="264">
        <v>0</v>
      </c>
      <c r="AI158" s="264">
        <v>0</v>
      </c>
      <c r="AJ158" s="264">
        <v>0</v>
      </c>
      <c r="AK158" s="264">
        <v>0</v>
      </c>
    </row>
    <row r="159" spans="2:37" ht="12" hidden="1" customHeight="1" outlineLevel="1">
      <c r="B159" s="271">
        <v>25</v>
      </c>
      <c r="C159" s="271">
        <v>25</v>
      </c>
      <c r="D159" s="271">
        <v>29</v>
      </c>
      <c r="E159" s="271">
        <v>5</v>
      </c>
      <c r="G159" s="272">
        <v>0</v>
      </c>
      <c r="R159" s="264">
        <v>0</v>
      </c>
      <c r="S159" s="264">
        <v>0</v>
      </c>
      <c r="T159" s="264">
        <v>0</v>
      </c>
      <c r="U159" s="264">
        <v>0</v>
      </c>
      <c r="V159" s="264">
        <v>0</v>
      </c>
      <c r="W159" s="264">
        <v>0</v>
      </c>
      <c r="X159" s="264">
        <v>0</v>
      </c>
      <c r="Y159" s="264">
        <v>0</v>
      </c>
      <c r="Z159" s="264">
        <v>0</v>
      </c>
      <c r="AA159" s="264">
        <v>0</v>
      </c>
      <c r="AB159" s="264">
        <v>0</v>
      </c>
      <c r="AC159" s="264">
        <v>0</v>
      </c>
      <c r="AD159" s="264">
        <v>0</v>
      </c>
      <c r="AE159" s="264">
        <v>0</v>
      </c>
      <c r="AF159" s="264">
        <v>0</v>
      </c>
      <c r="AG159" s="264">
        <v>0</v>
      </c>
      <c r="AH159" s="264">
        <v>0</v>
      </c>
      <c r="AI159" s="264">
        <v>0</v>
      </c>
      <c r="AJ159" s="264">
        <v>0</v>
      </c>
      <c r="AK159" s="264">
        <v>0</v>
      </c>
    </row>
    <row r="160" spans="2:37" ht="12" hidden="1" customHeight="1" outlineLevel="1">
      <c r="B160" s="271">
        <v>26</v>
      </c>
      <c r="C160" s="271">
        <v>26</v>
      </c>
      <c r="D160" s="271">
        <v>30</v>
      </c>
      <c r="E160" s="271">
        <v>5</v>
      </c>
      <c r="G160" s="272">
        <v>0</v>
      </c>
      <c r="R160" s="264">
        <v>0</v>
      </c>
      <c r="S160" s="264">
        <v>0</v>
      </c>
      <c r="T160" s="264">
        <v>0</v>
      </c>
      <c r="U160" s="264">
        <v>0</v>
      </c>
      <c r="V160" s="264">
        <v>0</v>
      </c>
      <c r="W160" s="264">
        <v>0</v>
      </c>
      <c r="X160" s="264">
        <v>0</v>
      </c>
      <c r="Y160" s="264">
        <v>0</v>
      </c>
      <c r="Z160" s="264">
        <v>0</v>
      </c>
      <c r="AA160" s="264">
        <v>0</v>
      </c>
      <c r="AB160" s="264">
        <v>0</v>
      </c>
      <c r="AC160" s="264">
        <v>0</v>
      </c>
      <c r="AD160" s="264">
        <v>0</v>
      </c>
      <c r="AE160" s="264">
        <v>0</v>
      </c>
      <c r="AF160" s="264">
        <v>0</v>
      </c>
      <c r="AG160" s="264">
        <v>0</v>
      </c>
      <c r="AH160" s="264">
        <v>0</v>
      </c>
      <c r="AI160" s="264">
        <v>0</v>
      </c>
      <c r="AJ160" s="264">
        <v>0</v>
      </c>
      <c r="AK160" s="264">
        <v>0</v>
      </c>
    </row>
    <row r="161" spans="2:37" ht="12" hidden="1" customHeight="1" outlineLevel="1">
      <c r="B161" s="271">
        <v>27</v>
      </c>
      <c r="C161" s="271">
        <v>27</v>
      </c>
      <c r="D161" s="271">
        <v>30</v>
      </c>
      <c r="E161" s="271">
        <v>5</v>
      </c>
      <c r="G161" s="272">
        <v>0</v>
      </c>
      <c r="R161" s="264">
        <v>0</v>
      </c>
      <c r="S161" s="264">
        <v>0</v>
      </c>
      <c r="T161" s="264">
        <v>0</v>
      </c>
      <c r="U161" s="264">
        <v>0</v>
      </c>
      <c r="V161" s="264">
        <v>0</v>
      </c>
      <c r="W161" s="264">
        <v>0</v>
      </c>
      <c r="X161" s="264">
        <v>0</v>
      </c>
      <c r="Y161" s="264">
        <v>0</v>
      </c>
      <c r="Z161" s="264">
        <v>0</v>
      </c>
      <c r="AA161" s="264">
        <v>0</v>
      </c>
      <c r="AB161" s="264">
        <v>0</v>
      </c>
      <c r="AC161" s="264">
        <v>0</v>
      </c>
      <c r="AD161" s="264">
        <v>0</v>
      </c>
      <c r="AE161" s="264">
        <v>0</v>
      </c>
      <c r="AF161" s="264">
        <v>0</v>
      </c>
      <c r="AG161" s="264">
        <v>0</v>
      </c>
      <c r="AH161" s="264">
        <v>0</v>
      </c>
      <c r="AI161" s="264">
        <v>0</v>
      </c>
      <c r="AJ161" s="264">
        <v>0</v>
      </c>
      <c r="AK161" s="264">
        <v>0</v>
      </c>
    </row>
    <row r="162" spans="2:37" ht="12" hidden="1" customHeight="1" outlineLevel="1">
      <c r="B162" s="271">
        <v>28</v>
      </c>
      <c r="C162" s="271">
        <v>28</v>
      </c>
      <c r="D162" s="271">
        <v>30</v>
      </c>
      <c r="E162" s="271">
        <v>5</v>
      </c>
      <c r="G162" s="272">
        <v>0</v>
      </c>
      <c r="R162" s="264">
        <v>0</v>
      </c>
      <c r="S162" s="264">
        <v>0</v>
      </c>
      <c r="T162" s="264">
        <v>0</v>
      </c>
      <c r="U162" s="264">
        <v>0</v>
      </c>
      <c r="V162" s="264">
        <v>0</v>
      </c>
      <c r="W162" s="264">
        <v>0</v>
      </c>
      <c r="X162" s="264">
        <v>0</v>
      </c>
      <c r="Y162" s="264">
        <v>0</v>
      </c>
      <c r="Z162" s="264">
        <v>0</v>
      </c>
      <c r="AA162" s="264">
        <v>0</v>
      </c>
      <c r="AB162" s="264">
        <v>0</v>
      </c>
      <c r="AC162" s="264">
        <v>0</v>
      </c>
      <c r="AD162" s="264">
        <v>0</v>
      </c>
      <c r="AE162" s="264">
        <v>0</v>
      </c>
      <c r="AF162" s="264">
        <v>0</v>
      </c>
      <c r="AG162" s="264">
        <v>0</v>
      </c>
      <c r="AH162" s="264">
        <v>0</v>
      </c>
      <c r="AI162" s="264">
        <v>0</v>
      </c>
      <c r="AJ162" s="264">
        <v>0</v>
      </c>
      <c r="AK162" s="264">
        <v>0</v>
      </c>
    </row>
    <row r="163" spans="2:37" ht="12" hidden="1" customHeight="1" outlineLevel="1">
      <c r="B163" s="271">
        <v>29</v>
      </c>
      <c r="C163" s="271">
        <v>29</v>
      </c>
      <c r="D163" s="271">
        <v>30</v>
      </c>
      <c r="E163" s="271">
        <v>5</v>
      </c>
      <c r="G163" s="272">
        <v>0</v>
      </c>
      <c r="R163" s="264">
        <v>0</v>
      </c>
      <c r="S163" s="264">
        <v>0</v>
      </c>
      <c r="T163" s="264">
        <v>0</v>
      </c>
      <c r="U163" s="264">
        <v>0</v>
      </c>
      <c r="V163" s="264">
        <v>0</v>
      </c>
      <c r="W163" s="264">
        <v>0</v>
      </c>
      <c r="X163" s="264">
        <v>0</v>
      </c>
      <c r="Y163" s="264">
        <v>0</v>
      </c>
      <c r="Z163" s="264">
        <v>0</v>
      </c>
      <c r="AA163" s="264">
        <v>0</v>
      </c>
      <c r="AB163" s="264">
        <v>0</v>
      </c>
      <c r="AC163" s="264">
        <v>0</v>
      </c>
      <c r="AD163" s="264">
        <v>0</v>
      </c>
      <c r="AE163" s="264">
        <v>0</v>
      </c>
      <c r="AF163" s="264">
        <v>0</v>
      </c>
      <c r="AG163" s="264">
        <v>0</v>
      </c>
      <c r="AH163" s="264">
        <v>0</v>
      </c>
      <c r="AI163" s="264">
        <v>0</v>
      </c>
      <c r="AJ163" s="264">
        <v>0</v>
      </c>
      <c r="AK163" s="264">
        <v>0</v>
      </c>
    </row>
    <row r="164" spans="2:37" ht="12" hidden="1" customHeight="1" outlineLevel="1">
      <c r="B164" s="271">
        <v>30</v>
      </c>
      <c r="C164" s="271">
        <v>30</v>
      </c>
      <c r="D164" s="271">
        <v>30</v>
      </c>
      <c r="E164" s="271">
        <v>5</v>
      </c>
      <c r="G164" s="272">
        <v>0</v>
      </c>
      <c r="R164" s="264">
        <v>0</v>
      </c>
      <c r="S164" s="264">
        <v>0</v>
      </c>
      <c r="T164" s="264">
        <v>0</v>
      </c>
      <c r="U164" s="264">
        <v>0</v>
      </c>
      <c r="V164" s="264">
        <v>0</v>
      </c>
      <c r="W164" s="264">
        <v>0</v>
      </c>
      <c r="X164" s="264">
        <v>0</v>
      </c>
      <c r="Y164" s="264">
        <v>0</v>
      </c>
      <c r="Z164" s="264">
        <v>0</v>
      </c>
      <c r="AA164" s="264">
        <v>0</v>
      </c>
      <c r="AB164" s="264">
        <v>0</v>
      </c>
      <c r="AC164" s="264">
        <v>0</v>
      </c>
      <c r="AD164" s="264">
        <v>0</v>
      </c>
      <c r="AE164" s="264">
        <v>0</v>
      </c>
      <c r="AF164" s="264">
        <v>0</v>
      </c>
      <c r="AG164" s="264">
        <v>0</v>
      </c>
      <c r="AH164" s="264">
        <v>0</v>
      </c>
      <c r="AI164" s="264">
        <v>0</v>
      </c>
      <c r="AJ164" s="264">
        <v>0</v>
      </c>
      <c r="AK164" s="264">
        <v>0</v>
      </c>
    </row>
    <row r="165" spans="2:37" ht="12" customHeight="1" collapsed="1">
      <c r="G165" s="263"/>
    </row>
    <row r="166" spans="2:37" s="246" customFormat="1" ht="12" customHeight="1">
      <c r="B166" s="269" t="s">
        <v>1</v>
      </c>
      <c r="C166" s="246" t="s">
        <v>237</v>
      </c>
      <c r="G166" s="247">
        <v>30</v>
      </c>
      <c r="H166" s="246" t="s">
        <v>254</v>
      </c>
      <c r="M166" s="252"/>
      <c r="O166" s="270">
        <v>0</v>
      </c>
      <c r="R166" s="270">
        <v>0</v>
      </c>
      <c r="S166" s="270">
        <v>0</v>
      </c>
      <c r="T166" s="270">
        <v>0</v>
      </c>
      <c r="U166" s="270">
        <v>0</v>
      </c>
      <c r="V166" s="270">
        <v>0</v>
      </c>
      <c r="W166" s="270">
        <v>0</v>
      </c>
      <c r="X166" s="270">
        <v>0</v>
      </c>
      <c r="Y166" s="270">
        <v>0</v>
      </c>
      <c r="Z166" s="270">
        <v>0</v>
      </c>
      <c r="AA166" s="270">
        <v>0</v>
      </c>
      <c r="AB166" s="270">
        <v>0</v>
      </c>
      <c r="AC166" s="270">
        <v>0</v>
      </c>
      <c r="AD166" s="270">
        <v>0</v>
      </c>
      <c r="AE166" s="270">
        <v>0</v>
      </c>
      <c r="AF166" s="270">
        <v>0</v>
      </c>
      <c r="AG166" s="270">
        <v>0</v>
      </c>
      <c r="AH166" s="270">
        <v>0</v>
      </c>
      <c r="AI166" s="270">
        <v>0</v>
      </c>
      <c r="AJ166" s="270">
        <v>0</v>
      </c>
      <c r="AK166" s="270">
        <v>0</v>
      </c>
    </row>
    <row r="167" spans="2:37" s="246" customFormat="1" ht="12" customHeight="1">
      <c r="B167" s="269"/>
      <c r="C167" s="246" t="s">
        <v>247</v>
      </c>
      <c r="G167" s="247"/>
      <c r="M167" s="252" t="s">
        <v>248</v>
      </c>
      <c r="O167" s="270">
        <v>0</v>
      </c>
      <c r="R167" s="270">
        <v>0</v>
      </c>
      <c r="S167" s="270">
        <v>0</v>
      </c>
      <c r="T167" s="270">
        <v>0</v>
      </c>
      <c r="U167" s="270">
        <v>0</v>
      </c>
      <c r="V167" s="270">
        <v>0</v>
      </c>
      <c r="W167" s="270">
        <v>0</v>
      </c>
      <c r="X167" s="270">
        <v>0</v>
      </c>
      <c r="Y167" s="270">
        <v>0</v>
      </c>
      <c r="Z167" s="270">
        <v>0</v>
      </c>
      <c r="AA167" s="270">
        <v>0</v>
      </c>
      <c r="AB167" s="270">
        <v>0</v>
      </c>
      <c r="AC167" s="270">
        <v>0</v>
      </c>
      <c r="AD167" s="270">
        <v>0</v>
      </c>
      <c r="AE167" s="270">
        <v>0</v>
      </c>
      <c r="AF167" s="270">
        <v>0</v>
      </c>
      <c r="AG167" s="270">
        <v>0</v>
      </c>
      <c r="AH167" s="270">
        <v>0</v>
      </c>
      <c r="AI167" s="270">
        <v>0</v>
      </c>
      <c r="AJ167" s="270">
        <v>0</v>
      </c>
      <c r="AK167" s="270">
        <v>0</v>
      </c>
    </row>
    <row r="168" spans="2:37" ht="12" customHeight="1">
      <c r="G168" s="263"/>
    </row>
    <row r="169" spans="2:37" ht="12" hidden="1" customHeight="1" outlineLevel="1">
      <c r="B169" s="271" t="s">
        <v>249</v>
      </c>
      <c r="C169" s="271" t="s">
        <v>250</v>
      </c>
      <c r="D169" s="271" t="s">
        <v>251</v>
      </c>
      <c r="E169" s="271" t="s">
        <v>252</v>
      </c>
      <c r="G169" s="263" t="s">
        <v>253</v>
      </c>
      <c r="H169" s="271"/>
      <c r="J169" s="271"/>
      <c r="K169" s="271"/>
      <c r="L169" s="271"/>
      <c r="M169" s="271"/>
    </row>
    <row r="170" spans="2:37" ht="12" hidden="1" customHeight="1" outlineLevel="1">
      <c r="B170" s="271">
        <v>0</v>
      </c>
      <c r="C170" s="271">
        <v>4</v>
      </c>
      <c r="D170" s="271">
        <v>30</v>
      </c>
      <c r="E170" s="271">
        <v>30</v>
      </c>
      <c r="G170" s="272">
        <v>0</v>
      </c>
      <c r="O170" s="264">
        <v>0</v>
      </c>
      <c r="R170" s="264">
        <v>0</v>
      </c>
      <c r="S170" s="264">
        <v>0</v>
      </c>
      <c r="T170" s="264">
        <v>0</v>
      </c>
      <c r="U170" s="264">
        <v>0</v>
      </c>
      <c r="V170" s="264">
        <v>0</v>
      </c>
      <c r="W170" s="264">
        <v>0</v>
      </c>
      <c r="X170" s="264">
        <v>0</v>
      </c>
      <c r="Y170" s="264">
        <v>0</v>
      </c>
      <c r="Z170" s="264">
        <v>0</v>
      </c>
      <c r="AA170" s="264">
        <v>0</v>
      </c>
      <c r="AB170" s="264">
        <v>0</v>
      </c>
      <c r="AC170" s="264">
        <v>0</v>
      </c>
      <c r="AD170" s="264">
        <v>0</v>
      </c>
      <c r="AE170" s="264">
        <v>0</v>
      </c>
      <c r="AF170" s="264">
        <v>0</v>
      </c>
      <c r="AG170" s="264">
        <v>0</v>
      </c>
      <c r="AH170" s="264">
        <v>0</v>
      </c>
      <c r="AI170" s="264">
        <v>0</v>
      </c>
      <c r="AJ170" s="264">
        <v>0</v>
      </c>
      <c r="AK170" s="264">
        <v>0</v>
      </c>
    </row>
    <row r="171" spans="2:37" ht="12" hidden="1" customHeight="1" outlineLevel="1">
      <c r="B171" s="271">
        <v>1</v>
      </c>
      <c r="C171" s="271">
        <v>4</v>
      </c>
      <c r="D171" s="271">
        <v>30</v>
      </c>
      <c r="E171" s="271">
        <v>30</v>
      </c>
      <c r="G171" s="272">
        <v>0</v>
      </c>
      <c r="O171" s="264">
        <v>0</v>
      </c>
      <c r="R171" s="264">
        <v>0</v>
      </c>
      <c r="S171" s="264">
        <v>0</v>
      </c>
      <c r="T171" s="264">
        <v>0</v>
      </c>
      <c r="U171" s="264">
        <v>0</v>
      </c>
      <c r="V171" s="264">
        <v>0</v>
      </c>
      <c r="W171" s="264">
        <v>0</v>
      </c>
      <c r="X171" s="264">
        <v>0</v>
      </c>
      <c r="Y171" s="264">
        <v>0</v>
      </c>
      <c r="Z171" s="264">
        <v>0</v>
      </c>
      <c r="AA171" s="264">
        <v>0</v>
      </c>
      <c r="AB171" s="264">
        <v>0</v>
      </c>
      <c r="AC171" s="264">
        <v>0</v>
      </c>
      <c r="AD171" s="264">
        <v>0</v>
      </c>
      <c r="AE171" s="264">
        <v>0</v>
      </c>
      <c r="AF171" s="264">
        <v>0</v>
      </c>
      <c r="AG171" s="264">
        <v>0</v>
      </c>
      <c r="AH171" s="264">
        <v>0</v>
      </c>
      <c r="AI171" s="264">
        <v>0</v>
      </c>
      <c r="AJ171" s="264">
        <v>0</v>
      </c>
      <c r="AK171" s="264">
        <v>0</v>
      </c>
    </row>
    <row r="172" spans="2:37" ht="12" hidden="1" customHeight="1" outlineLevel="1">
      <c r="B172" s="271">
        <v>2</v>
      </c>
      <c r="C172" s="271">
        <v>4</v>
      </c>
      <c r="D172" s="271">
        <v>30</v>
      </c>
      <c r="E172" s="271">
        <v>30</v>
      </c>
      <c r="G172" s="272">
        <v>0</v>
      </c>
      <c r="O172" s="264">
        <v>0</v>
      </c>
      <c r="R172" s="264">
        <v>0</v>
      </c>
      <c r="S172" s="264">
        <v>0</v>
      </c>
      <c r="T172" s="264">
        <v>0</v>
      </c>
      <c r="U172" s="264">
        <v>0</v>
      </c>
      <c r="V172" s="264">
        <v>0</v>
      </c>
      <c r="W172" s="264">
        <v>0</v>
      </c>
      <c r="X172" s="264">
        <v>0</v>
      </c>
      <c r="Y172" s="264">
        <v>0</v>
      </c>
      <c r="Z172" s="264">
        <v>0</v>
      </c>
      <c r="AA172" s="264">
        <v>0</v>
      </c>
      <c r="AB172" s="264">
        <v>0</v>
      </c>
      <c r="AC172" s="264">
        <v>0</v>
      </c>
      <c r="AD172" s="264">
        <v>0</v>
      </c>
      <c r="AE172" s="264">
        <v>0</v>
      </c>
      <c r="AF172" s="264">
        <v>0</v>
      </c>
      <c r="AG172" s="264">
        <v>0</v>
      </c>
      <c r="AH172" s="264">
        <v>0</v>
      </c>
      <c r="AI172" s="264">
        <v>0</v>
      </c>
      <c r="AJ172" s="264">
        <v>0</v>
      </c>
      <c r="AK172" s="264">
        <v>0</v>
      </c>
    </row>
    <row r="173" spans="2:37" ht="12" hidden="1" customHeight="1" outlineLevel="1">
      <c r="B173" s="271">
        <v>3</v>
      </c>
      <c r="C173" s="271">
        <v>4</v>
      </c>
      <c r="D173" s="271">
        <v>30</v>
      </c>
      <c r="E173" s="271">
        <v>30</v>
      </c>
      <c r="G173" s="272">
        <v>0</v>
      </c>
      <c r="O173" s="264">
        <v>0</v>
      </c>
      <c r="R173" s="264">
        <v>0</v>
      </c>
      <c r="S173" s="264">
        <v>0</v>
      </c>
      <c r="T173" s="264">
        <v>0</v>
      </c>
      <c r="U173" s="264">
        <v>0</v>
      </c>
      <c r="V173" s="264">
        <v>0</v>
      </c>
      <c r="W173" s="264">
        <v>0</v>
      </c>
      <c r="X173" s="264">
        <v>0</v>
      </c>
      <c r="Y173" s="264">
        <v>0</v>
      </c>
      <c r="Z173" s="264">
        <v>0</v>
      </c>
      <c r="AA173" s="264">
        <v>0</v>
      </c>
      <c r="AB173" s="264">
        <v>0</v>
      </c>
      <c r="AC173" s="264">
        <v>0</v>
      </c>
      <c r="AD173" s="264">
        <v>0</v>
      </c>
      <c r="AE173" s="264">
        <v>0</v>
      </c>
      <c r="AF173" s="264">
        <v>0</v>
      </c>
      <c r="AG173" s="264">
        <v>0</v>
      </c>
      <c r="AH173" s="264">
        <v>0</v>
      </c>
      <c r="AI173" s="264">
        <v>0</v>
      </c>
      <c r="AJ173" s="264">
        <v>0</v>
      </c>
      <c r="AK173" s="264">
        <v>0</v>
      </c>
    </row>
    <row r="174" spans="2:37" ht="12" hidden="1" customHeight="1" outlineLevel="1">
      <c r="B174" s="271">
        <v>4</v>
      </c>
      <c r="C174" s="271">
        <v>4</v>
      </c>
      <c r="D174" s="271">
        <v>30</v>
      </c>
      <c r="E174" s="271">
        <v>30</v>
      </c>
      <c r="G174" s="272">
        <v>0</v>
      </c>
      <c r="O174" s="264">
        <v>0</v>
      </c>
      <c r="R174" s="264">
        <v>0</v>
      </c>
      <c r="S174" s="264">
        <v>0</v>
      </c>
      <c r="T174" s="264">
        <v>0</v>
      </c>
      <c r="U174" s="264">
        <v>0</v>
      </c>
      <c r="V174" s="264">
        <v>0</v>
      </c>
      <c r="W174" s="264">
        <v>0</v>
      </c>
      <c r="X174" s="264">
        <v>0</v>
      </c>
      <c r="Y174" s="264">
        <v>0</v>
      </c>
      <c r="Z174" s="264">
        <v>0</v>
      </c>
      <c r="AA174" s="264">
        <v>0</v>
      </c>
      <c r="AB174" s="264">
        <v>0</v>
      </c>
      <c r="AC174" s="264">
        <v>0</v>
      </c>
      <c r="AD174" s="264">
        <v>0</v>
      </c>
      <c r="AE174" s="264">
        <v>0</v>
      </c>
      <c r="AF174" s="264">
        <v>0</v>
      </c>
      <c r="AG174" s="264">
        <v>0</v>
      </c>
      <c r="AH174" s="264">
        <v>0</v>
      </c>
      <c r="AI174" s="264">
        <v>0</v>
      </c>
      <c r="AJ174" s="264">
        <v>0</v>
      </c>
      <c r="AK174" s="264">
        <v>0</v>
      </c>
    </row>
    <row r="175" spans="2:37" ht="12" hidden="1" customHeight="1" outlineLevel="1">
      <c r="B175" s="271">
        <v>5</v>
      </c>
      <c r="C175" s="271">
        <v>5</v>
      </c>
      <c r="D175" s="271">
        <v>30</v>
      </c>
      <c r="E175" s="271">
        <v>30</v>
      </c>
      <c r="G175" s="272">
        <v>0</v>
      </c>
      <c r="O175" s="264">
        <v>0</v>
      </c>
      <c r="R175" s="264">
        <v>0</v>
      </c>
      <c r="S175" s="264">
        <v>0</v>
      </c>
      <c r="T175" s="264">
        <v>0</v>
      </c>
      <c r="U175" s="264">
        <v>0</v>
      </c>
      <c r="V175" s="264">
        <v>0</v>
      </c>
      <c r="W175" s="264">
        <v>0</v>
      </c>
      <c r="X175" s="264">
        <v>0</v>
      </c>
      <c r="Y175" s="264">
        <v>0</v>
      </c>
      <c r="Z175" s="264">
        <v>0</v>
      </c>
      <c r="AA175" s="264">
        <v>0</v>
      </c>
      <c r="AB175" s="264">
        <v>0</v>
      </c>
      <c r="AC175" s="264">
        <v>0</v>
      </c>
      <c r="AD175" s="264">
        <v>0</v>
      </c>
      <c r="AE175" s="264">
        <v>0</v>
      </c>
      <c r="AF175" s="264">
        <v>0</v>
      </c>
      <c r="AG175" s="264">
        <v>0</v>
      </c>
      <c r="AH175" s="264">
        <v>0</v>
      </c>
      <c r="AI175" s="264">
        <v>0</v>
      </c>
      <c r="AJ175" s="264">
        <v>0</v>
      </c>
      <c r="AK175" s="264">
        <v>0</v>
      </c>
    </row>
    <row r="176" spans="2:37" ht="12" hidden="1" customHeight="1" outlineLevel="1">
      <c r="B176" s="271">
        <v>6</v>
      </c>
      <c r="C176" s="271">
        <v>6</v>
      </c>
      <c r="D176" s="271">
        <v>30</v>
      </c>
      <c r="E176" s="271">
        <v>30</v>
      </c>
      <c r="G176" s="272">
        <v>0</v>
      </c>
      <c r="O176" s="264">
        <v>0</v>
      </c>
      <c r="R176" s="264">
        <v>0</v>
      </c>
      <c r="S176" s="264">
        <v>0</v>
      </c>
      <c r="T176" s="264">
        <v>0</v>
      </c>
      <c r="U176" s="264">
        <v>0</v>
      </c>
      <c r="V176" s="264">
        <v>0</v>
      </c>
      <c r="W176" s="264">
        <v>0</v>
      </c>
      <c r="X176" s="264">
        <v>0</v>
      </c>
      <c r="Y176" s="264">
        <v>0</v>
      </c>
      <c r="Z176" s="264">
        <v>0</v>
      </c>
      <c r="AA176" s="264">
        <v>0</v>
      </c>
      <c r="AB176" s="264">
        <v>0</v>
      </c>
      <c r="AC176" s="264">
        <v>0</v>
      </c>
      <c r="AD176" s="264">
        <v>0</v>
      </c>
      <c r="AE176" s="264">
        <v>0</v>
      </c>
      <c r="AF176" s="264">
        <v>0</v>
      </c>
      <c r="AG176" s="264">
        <v>0</v>
      </c>
      <c r="AH176" s="264">
        <v>0</v>
      </c>
      <c r="AI176" s="264">
        <v>0</v>
      </c>
      <c r="AJ176" s="264">
        <v>0</v>
      </c>
      <c r="AK176" s="264">
        <v>0</v>
      </c>
    </row>
    <row r="177" spans="2:37" ht="12" hidden="1" customHeight="1" outlineLevel="1">
      <c r="B177" s="271">
        <v>7</v>
      </c>
      <c r="C177" s="271">
        <v>7</v>
      </c>
      <c r="D177" s="271">
        <v>30</v>
      </c>
      <c r="E177" s="271">
        <v>30</v>
      </c>
      <c r="G177" s="272">
        <v>0</v>
      </c>
      <c r="O177" s="264">
        <v>0</v>
      </c>
      <c r="R177" s="264">
        <v>0</v>
      </c>
      <c r="S177" s="264">
        <v>0</v>
      </c>
      <c r="T177" s="264">
        <v>0</v>
      </c>
      <c r="U177" s="264">
        <v>0</v>
      </c>
      <c r="V177" s="264">
        <v>0</v>
      </c>
      <c r="W177" s="264">
        <v>0</v>
      </c>
      <c r="X177" s="264">
        <v>0</v>
      </c>
      <c r="Y177" s="264">
        <v>0</v>
      </c>
      <c r="Z177" s="264">
        <v>0</v>
      </c>
      <c r="AA177" s="264">
        <v>0</v>
      </c>
      <c r="AB177" s="264">
        <v>0</v>
      </c>
      <c r="AC177" s="264">
        <v>0</v>
      </c>
      <c r="AD177" s="264">
        <v>0</v>
      </c>
      <c r="AE177" s="264">
        <v>0</v>
      </c>
      <c r="AF177" s="264">
        <v>0</v>
      </c>
      <c r="AG177" s="264">
        <v>0</v>
      </c>
      <c r="AH177" s="264">
        <v>0</v>
      </c>
      <c r="AI177" s="264">
        <v>0</v>
      </c>
      <c r="AJ177" s="264">
        <v>0</v>
      </c>
      <c r="AK177" s="264">
        <v>0</v>
      </c>
    </row>
    <row r="178" spans="2:37" ht="12" hidden="1" customHeight="1" outlineLevel="1">
      <c r="B178" s="271">
        <v>8</v>
      </c>
      <c r="C178" s="271">
        <v>8</v>
      </c>
      <c r="D178" s="271">
        <v>30</v>
      </c>
      <c r="E178" s="271">
        <v>30</v>
      </c>
      <c r="G178" s="272">
        <v>0</v>
      </c>
      <c r="O178" s="264">
        <v>0</v>
      </c>
      <c r="R178" s="264">
        <v>0</v>
      </c>
      <c r="S178" s="264">
        <v>0</v>
      </c>
      <c r="T178" s="264">
        <v>0</v>
      </c>
      <c r="U178" s="264">
        <v>0</v>
      </c>
      <c r="V178" s="264">
        <v>0</v>
      </c>
      <c r="W178" s="264">
        <v>0</v>
      </c>
      <c r="X178" s="264">
        <v>0</v>
      </c>
      <c r="Y178" s="264">
        <v>0</v>
      </c>
      <c r="Z178" s="264">
        <v>0</v>
      </c>
      <c r="AA178" s="264">
        <v>0</v>
      </c>
      <c r="AB178" s="264">
        <v>0</v>
      </c>
      <c r="AC178" s="264">
        <v>0</v>
      </c>
      <c r="AD178" s="264">
        <v>0</v>
      </c>
      <c r="AE178" s="264">
        <v>0</v>
      </c>
      <c r="AF178" s="264">
        <v>0</v>
      </c>
      <c r="AG178" s="264">
        <v>0</v>
      </c>
      <c r="AH178" s="264">
        <v>0</v>
      </c>
      <c r="AI178" s="264">
        <v>0</v>
      </c>
      <c r="AJ178" s="264">
        <v>0</v>
      </c>
      <c r="AK178" s="264">
        <v>0</v>
      </c>
    </row>
    <row r="179" spans="2:37" ht="12" hidden="1" customHeight="1" outlineLevel="1">
      <c r="B179" s="271">
        <v>9</v>
      </c>
      <c r="C179" s="271">
        <v>9</v>
      </c>
      <c r="D179" s="271">
        <v>30</v>
      </c>
      <c r="E179" s="271">
        <v>30</v>
      </c>
      <c r="G179" s="272">
        <v>0</v>
      </c>
      <c r="O179" s="264">
        <v>0</v>
      </c>
      <c r="R179" s="264">
        <v>0</v>
      </c>
      <c r="S179" s="264">
        <v>0</v>
      </c>
      <c r="T179" s="264">
        <v>0</v>
      </c>
      <c r="U179" s="264">
        <v>0</v>
      </c>
      <c r="V179" s="264">
        <v>0</v>
      </c>
      <c r="W179" s="264">
        <v>0</v>
      </c>
      <c r="X179" s="264">
        <v>0</v>
      </c>
      <c r="Y179" s="264">
        <v>0</v>
      </c>
      <c r="Z179" s="264">
        <v>0</v>
      </c>
      <c r="AA179" s="264">
        <v>0</v>
      </c>
      <c r="AB179" s="264">
        <v>0</v>
      </c>
      <c r="AC179" s="264">
        <v>0</v>
      </c>
      <c r="AD179" s="264">
        <v>0</v>
      </c>
      <c r="AE179" s="264">
        <v>0</v>
      </c>
      <c r="AF179" s="264">
        <v>0</v>
      </c>
      <c r="AG179" s="264">
        <v>0</v>
      </c>
      <c r="AH179" s="264">
        <v>0</v>
      </c>
      <c r="AI179" s="264">
        <v>0</v>
      </c>
      <c r="AJ179" s="264">
        <v>0</v>
      </c>
      <c r="AK179" s="264">
        <v>0</v>
      </c>
    </row>
    <row r="180" spans="2:37" ht="12" hidden="1" customHeight="1" outlineLevel="1">
      <c r="B180" s="271">
        <v>10</v>
      </c>
      <c r="C180" s="271">
        <v>10</v>
      </c>
      <c r="D180" s="271">
        <v>30</v>
      </c>
      <c r="E180" s="271">
        <v>30</v>
      </c>
      <c r="G180" s="272">
        <v>0</v>
      </c>
      <c r="O180" s="264">
        <v>0</v>
      </c>
      <c r="R180" s="264">
        <v>0</v>
      </c>
      <c r="S180" s="264">
        <v>0</v>
      </c>
      <c r="T180" s="264">
        <v>0</v>
      </c>
      <c r="U180" s="264">
        <v>0</v>
      </c>
      <c r="V180" s="264">
        <v>0</v>
      </c>
      <c r="W180" s="264">
        <v>0</v>
      </c>
      <c r="X180" s="264">
        <v>0</v>
      </c>
      <c r="Y180" s="264">
        <v>0</v>
      </c>
      <c r="Z180" s="264">
        <v>0</v>
      </c>
      <c r="AA180" s="264">
        <v>0</v>
      </c>
      <c r="AB180" s="264">
        <v>0</v>
      </c>
      <c r="AC180" s="264">
        <v>0</v>
      </c>
      <c r="AD180" s="264">
        <v>0</v>
      </c>
      <c r="AE180" s="264">
        <v>0</v>
      </c>
      <c r="AF180" s="264">
        <v>0</v>
      </c>
      <c r="AG180" s="264">
        <v>0</v>
      </c>
      <c r="AH180" s="264">
        <v>0</v>
      </c>
      <c r="AI180" s="264">
        <v>0</v>
      </c>
      <c r="AJ180" s="264">
        <v>0</v>
      </c>
      <c r="AK180" s="264">
        <v>0</v>
      </c>
    </row>
    <row r="181" spans="2:37" ht="12" hidden="1" customHeight="1" outlineLevel="1">
      <c r="B181" s="271">
        <v>11</v>
      </c>
      <c r="C181" s="271">
        <v>11</v>
      </c>
      <c r="D181" s="271">
        <v>30</v>
      </c>
      <c r="E181" s="271">
        <v>30</v>
      </c>
      <c r="G181" s="272">
        <v>0</v>
      </c>
      <c r="O181" s="264">
        <v>0</v>
      </c>
      <c r="R181" s="264">
        <v>0</v>
      </c>
      <c r="S181" s="264">
        <v>0</v>
      </c>
      <c r="T181" s="264">
        <v>0</v>
      </c>
      <c r="U181" s="264">
        <v>0</v>
      </c>
      <c r="V181" s="264">
        <v>0</v>
      </c>
      <c r="W181" s="264">
        <v>0</v>
      </c>
      <c r="X181" s="264">
        <v>0</v>
      </c>
      <c r="Y181" s="264">
        <v>0</v>
      </c>
      <c r="Z181" s="264">
        <v>0</v>
      </c>
      <c r="AA181" s="264">
        <v>0</v>
      </c>
      <c r="AB181" s="264">
        <v>0</v>
      </c>
      <c r="AC181" s="264">
        <v>0</v>
      </c>
      <c r="AD181" s="264">
        <v>0</v>
      </c>
      <c r="AE181" s="264">
        <v>0</v>
      </c>
      <c r="AF181" s="264">
        <v>0</v>
      </c>
      <c r="AG181" s="264">
        <v>0</v>
      </c>
      <c r="AH181" s="264">
        <v>0</v>
      </c>
      <c r="AI181" s="264">
        <v>0</v>
      </c>
      <c r="AJ181" s="264">
        <v>0</v>
      </c>
      <c r="AK181" s="264">
        <v>0</v>
      </c>
    </row>
    <row r="182" spans="2:37" ht="12" hidden="1" customHeight="1" outlineLevel="1">
      <c r="B182" s="271">
        <v>12</v>
      </c>
      <c r="C182" s="271">
        <v>12</v>
      </c>
      <c r="D182" s="271">
        <v>30</v>
      </c>
      <c r="E182" s="271">
        <v>30</v>
      </c>
      <c r="G182" s="272">
        <v>0</v>
      </c>
      <c r="O182" s="264">
        <v>0</v>
      </c>
      <c r="R182" s="264">
        <v>0</v>
      </c>
      <c r="S182" s="264">
        <v>0</v>
      </c>
      <c r="T182" s="264">
        <v>0</v>
      </c>
      <c r="U182" s="264">
        <v>0</v>
      </c>
      <c r="V182" s="264">
        <v>0</v>
      </c>
      <c r="W182" s="264">
        <v>0</v>
      </c>
      <c r="X182" s="264">
        <v>0</v>
      </c>
      <c r="Y182" s="264">
        <v>0</v>
      </c>
      <c r="Z182" s="264">
        <v>0</v>
      </c>
      <c r="AA182" s="264">
        <v>0</v>
      </c>
      <c r="AB182" s="264">
        <v>0</v>
      </c>
      <c r="AC182" s="264">
        <v>0</v>
      </c>
      <c r="AD182" s="264">
        <v>0</v>
      </c>
      <c r="AE182" s="264">
        <v>0</v>
      </c>
      <c r="AF182" s="264">
        <v>0</v>
      </c>
      <c r="AG182" s="264">
        <v>0</v>
      </c>
      <c r="AH182" s="264">
        <v>0</v>
      </c>
      <c r="AI182" s="264">
        <v>0</v>
      </c>
      <c r="AJ182" s="264">
        <v>0</v>
      </c>
      <c r="AK182" s="264">
        <v>0</v>
      </c>
    </row>
    <row r="183" spans="2:37" ht="12" hidden="1" customHeight="1" outlineLevel="1">
      <c r="B183" s="271">
        <v>13</v>
      </c>
      <c r="C183" s="271">
        <v>13</v>
      </c>
      <c r="D183" s="271">
        <v>30</v>
      </c>
      <c r="E183" s="271">
        <v>30</v>
      </c>
      <c r="G183" s="272">
        <v>0</v>
      </c>
      <c r="O183" s="264">
        <v>0</v>
      </c>
      <c r="R183" s="264">
        <v>0</v>
      </c>
      <c r="S183" s="264">
        <v>0</v>
      </c>
      <c r="T183" s="264">
        <v>0</v>
      </c>
      <c r="U183" s="264">
        <v>0</v>
      </c>
      <c r="V183" s="264">
        <v>0</v>
      </c>
      <c r="W183" s="264">
        <v>0</v>
      </c>
      <c r="X183" s="264">
        <v>0</v>
      </c>
      <c r="Y183" s="264">
        <v>0</v>
      </c>
      <c r="Z183" s="264">
        <v>0</v>
      </c>
      <c r="AA183" s="264">
        <v>0</v>
      </c>
      <c r="AB183" s="264">
        <v>0</v>
      </c>
      <c r="AC183" s="264">
        <v>0</v>
      </c>
      <c r="AD183" s="264">
        <v>0</v>
      </c>
      <c r="AE183" s="264">
        <v>0</v>
      </c>
      <c r="AF183" s="264">
        <v>0</v>
      </c>
      <c r="AG183" s="264">
        <v>0</v>
      </c>
      <c r="AH183" s="264">
        <v>0</v>
      </c>
      <c r="AI183" s="264">
        <v>0</v>
      </c>
      <c r="AJ183" s="264">
        <v>0</v>
      </c>
      <c r="AK183" s="264">
        <v>0</v>
      </c>
    </row>
    <row r="184" spans="2:37" ht="12" hidden="1" customHeight="1" outlineLevel="1">
      <c r="B184" s="271">
        <v>14</v>
      </c>
      <c r="C184" s="271">
        <v>14</v>
      </c>
      <c r="D184" s="271">
        <v>30</v>
      </c>
      <c r="E184" s="271">
        <v>30</v>
      </c>
      <c r="G184" s="272">
        <v>0</v>
      </c>
      <c r="O184" s="264">
        <v>0</v>
      </c>
      <c r="R184" s="264">
        <v>0</v>
      </c>
      <c r="S184" s="264">
        <v>0</v>
      </c>
      <c r="T184" s="264">
        <v>0</v>
      </c>
      <c r="U184" s="264">
        <v>0</v>
      </c>
      <c r="V184" s="264">
        <v>0</v>
      </c>
      <c r="W184" s="264">
        <v>0</v>
      </c>
      <c r="X184" s="264">
        <v>0</v>
      </c>
      <c r="Y184" s="264">
        <v>0</v>
      </c>
      <c r="Z184" s="264">
        <v>0</v>
      </c>
      <c r="AA184" s="264">
        <v>0</v>
      </c>
      <c r="AB184" s="264">
        <v>0</v>
      </c>
      <c r="AC184" s="264">
        <v>0</v>
      </c>
      <c r="AD184" s="264">
        <v>0</v>
      </c>
      <c r="AE184" s="264">
        <v>0</v>
      </c>
      <c r="AF184" s="264">
        <v>0</v>
      </c>
      <c r="AG184" s="264">
        <v>0</v>
      </c>
      <c r="AH184" s="264">
        <v>0</v>
      </c>
      <c r="AI184" s="264">
        <v>0</v>
      </c>
      <c r="AJ184" s="264">
        <v>0</v>
      </c>
      <c r="AK184" s="264">
        <v>0</v>
      </c>
    </row>
    <row r="185" spans="2:37" ht="12" hidden="1" customHeight="1" outlineLevel="1">
      <c r="B185" s="271">
        <v>15</v>
      </c>
      <c r="C185" s="271">
        <v>15</v>
      </c>
      <c r="D185" s="271">
        <v>30</v>
      </c>
      <c r="E185" s="271">
        <v>30</v>
      </c>
      <c r="G185" s="272">
        <v>0</v>
      </c>
      <c r="O185" s="264">
        <v>0</v>
      </c>
      <c r="R185" s="264">
        <v>0</v>
      </c>
      <c r="S185" s="264">
        <v>0</v>
      </c>
      <c r="T185" s="264">
        <v>0</v>
      </c>
      <c r="U185" s="264">
        <v>0</v>
      </c>
      <c r="V185" s="264">
        <v>0</v>
      </c>
      <c r="W185" s="264">
        <v>0</v>
      </c>
      <c r="X185" s="264">
        <v>0</v>
      </c>
      <c r="Y185" s="264">
        <v>0</v>
      </c>
      <c r="Z185" s="264">
        <v>0</v>
      </c>
      <c r="AA185" s="264">
        <v>0</v>
      </c>
      <c r="AB185" s="264">
        <v>0</v>
      </c>
      <c r="AC185" s="264">
        <v>0</v>
      </c>
      <c r="AD185" s="264">
        <v>0</v>
      </c>
      <c r="AE185" s="264">
        <v>0</v>
      </c>
      <c r="AF185" s="264">
        <v>0</v>
      </c>
      <c r="AG185" s="264">
        <v>0</v>
      </c>
      <c r="AH185" s="264">
        <v>0</v>
      </c>
      <c r="AI185" s="264">
        <v>0</v>
      </c>
      <c r="AJ185" s="264">
        <v>0</v>
      </c>
      <c r="AK185" s="264">
        <v>0</v>
      </c>
    </row>
    <row r="186" spans="2:37" ht="12" hidden="1" customHeight="1" outlineLevel="1">
      <c r="B186" s="271">
        <v>16</v>
      </c>
      <c r="C186" s="271">
        <v>16</v>
      </c>
      <c r="D186" s="271">
        <v>30</v>
      </c>
      <c r="E186" s="271">
        <v>30</v>
      </c>
      <c r="G186" s="272">
        <v>0</v>
      </c>
      <c r="O186" s="264">
        <v>0</v>
      </c>
      <c r="R186" s="264">
        <v>0</v>
      </c>
      <c r="S186" s="264">
        <v>0</v>
      </c>
      <c r="T186" s="264">
        <v>0</v>
      </c>
      <c r="U186" s="264">
        <v>0</v>
      </c>
      <c r="V186" s="264">
        <v>0</v>
      </c>
      <c r="W186" s="264">
        <v>0</v>
      </c>
      <c r="X186" s="264">
        <v>0</v>
      </c>
      <c r="Y186" s="264">
        <v>0</v>
      </c>
      <c r="Z186" s="264">
        <v>0</v>
      </c>
      <c r="AA186" s="264">
        <v>0</v>
      </c>
      <c r="AB186" s="264">
        <v>0</v>
      </c>
      <c r="AC186" s="264">
        <v>0</v>
      </c>
      <c r="AD186" s="264">
        <v>0</v>
      </c>
      <c r="AE186" s="264">
        <v>0</v>
      </c>
      <c r="AF186" s="264">
        <v>0</v>
      </c>
      <c r="AG186" s="264">
        <v>0</v>
      </c>
      <c r="AH186" s="264">
        <v>0</v>
      </c>
      <c r="AI186" s="264">
        <v>0</v>
      </c>
      <c r="AJ186" s="264">
        <v>0</v>
      </c>
      <c r="AK186" s="264">
        <v>0</v>
      </c>
    </row>
    <row r="187" spans="2:37" ht="12" hidden="1" customHeight="1" outlineLevel="1">
      <c r="B187" s="271">
        <v>17</v>
      </c>
      <c r="C187" s="271">
        <v>17</v>
      </c>
      <c r="D187" s="271">
        <v>30</v>
      </c>
      <c r="E187" s="271">
        <v>30</v>
      </c>
      <c r="G187" s="272">
        <v>0</v>
      </c>
      <c r="O187" s="264">
        <v>0</v>
      </c>
      <c r="R187" s="264">
        <v>0</v>
      </c>
      <c r="S187" s="264">
        <v>0</v>
      </c>
      <c r="T187" s="264">
        <v>0</v>
      </c>
      <c r="U187" s="264">
        <v>0</v>
      </c>
      <c r="V187" s="264">
        <v>0</v>
      </c>
      <c r="W187" s="264">
        <v>0</v>
      </c>
      <c r="X187" s="264">
        <v>0</v>
      </c>
      <c r="Y187" s="264">
        <v>0</v>
      </c>
      <c r="Z187" s="264">
        <v>0</v>
      </c>
      <c r="AA187" s="264">
        <v>0</v>
      </c>
      <c r="AB187" s="264">
        <v>0</v>
      </c>
      <c r="AC187" s="264">
        <v>0</v>
      </c>
      <c r="AD187" s="264">
        <v>0</v>
      </c>
      <c r="AE187" s="264">
        <v>0</v>
      </c>
      <c r="AF187" s="264">
        <v>0</v>
      </c>
      <c r="AG187" s="264">
        <v>0</v>
      </c>
      <c r="AH187" s="264">
        <v>0</v>
      </c>
      <c r="AI187" s="264">
        <v>0</v>
      </c>
      <c r="AJ187" s="264">
        <v>0</v>
      </c>
      <c r="AK187" s="264">
        <v>0</v>
      </c>
    </row>
    <row r="188" spans="2:37" ht="12" hidden="1" customHeight="1" outlineLevel="1">
      <c r="B188" s="271">
        <v>18</v>
      </c>
      <c r="C188" s="271">
        <v>18</v>
      </c>
      <c r="D188" s="271">
        <v>30</v>
      </c>
      <c r="E188" s="271">
        <v>30</v>
      </c>
      <c r="G188" s="272">
        <v>0</v>
      </c>
      <c r="O188" s="264">
        <v>0</v>
      </c>
      <c r="R188" s="264">
        <v>0</v>
      </c>
      <c r="S188" s="264">
        <v>0</v>
      </c>
      <c r="T188" s="264">
        <v>0</v>
      </c>
      <c r="U188" s="264">
        <v>0</v>
      </c>
      <c r="V188" s="264">
        <v>0</v>
      </c>
      <c r="W188" s="264">
        <v>0</v>
      </c>
      <c r="X188" s="264">
        <v>0</v>
      </c>
      <c r="Y188" s="264">
        <v>0</v>
      </c>
      <c r="Z188" s="264">
        <v>0</v>
      </c>
      <c r="AA188" s="264">
        <v>0</v>
      </c>
      <c r="AB188" s="264">
        <v>0</v>
      </c>
      <c r="AC188" s="264">
        <v>0</v>
      </c>
      <c r="AD188" s="264">
        <v>0</v>
      </c>
      <c r="AE188" s="264">
        <v>0</v>
      </c>
      <c r="AF188" s="264">
        <v>0</v>
      </c>
      <c r="AG188" s="264">
        <v>0</v>
      </c>
      <c r="AH188" s="264">
        <v>0</v>
      </c>
      <c r="AI188" s="264">
        <v>0</v>
      </c>
      <c r="AJ188" s="264">
        <v>0</v>
      </c>
      <c r="AK188" s="264">
        <v>0</v>
      </c>
    </row>
    <row r="189" spans="2:37" ht="12" hidden="1" customHeight="1" outlineLevel="1">
      <c r="B189" s="271">
        <v>19</v>
      </c>
      <c r="C189" s="271">
        <v>19</v>
      </c>
      <c r="D189" s="271">
        <v>30</v>
      </c>
      <c r="E189" s="271">
        <v>30</v>
      </c>
      <c r="G189" s="272">
        <v>0</v>
      </c>
      <c r="O189" s="264">
        <v>0</v>
      </c>
      <c r="R189" s="264">
        <v>0</v>
      </c>
      <c r="S189" s="264">
        <v>0</v>
      </c>
      <c r="T189" s="264">
        <v>0</v>
      </c>
      <c r="U189" s="264">
        <v>0</v>
      </c>
      <c r="V189" s="264">
        <v>0</v>
      </c>
      <c r="W189" s="264">
        <v>0</v>
      </c>
      <c r="X189" s="264">
        <v>0</v>
      </c>
      <c r="Y189" s="264">
        <v>0</v>
      </c>
      <c r="Z189" s="264">
        <v>0</v>
      </c>
      <c r="AA189" s="264">
        <v>0</v>
      </c>
      <c r="AB189" s="264">
        <v>0</v>
      </c>
      <c r="AC189" s="264">
        <v>0</v>
      </c>
      <c r="AD189" s="264">
        <v>0</v>
      </c>
      <c r="AE189" s="264">
        <v>0</v>
      </c>
      <c r="AF189" s="264">
        <v>0</v>
      </c>
      <c r="AG189" s="264">
        <v>0</v>
      </c>
      <c r="AH189" s="264">
        <v>0</v>
      </c>
      <c r="AI189" s="264">
        <v>0</v>
      </c>
      <c r="AJ189" s="264">
        <v>0</v>
      </c>
      <c r="AK189" s="264">
        <v>0</v>
      </c>
    </row>
    <row r="190" spans="2:37" ht="12" hidden="1" customHeight="1" outlineLevel="1">
      <c r="B190" s="271">
        <v>20</v>
      </c>
      <c r="C190" s="271">
        <v>20</v>
      </c>
      <c r="D190" s="271">
        <v>30</v>
      </c>
      <c r="E190" s="271">
        <v>30</v>
      </c>
      <c r="G190" s="272">
        <v>0</v>
      </c>
      <c r="O190" s="264">
        <v>0</v>
      </c>
      <c r="R190" s="264">
        <v>0</v>
      </c>
      <c r="S190" s="264">
        <v>0</v>
      </c>
      <c r="T190" s="264">
        <v>0</v>
      </c>
      <c r="U190" s="264">
        <v>0</v>
      </c>
      <c r="V190" s="264">
        <v>0</v>
      </c>
      <c r="W190" s="264">
        <v>0</v>
      </c>
      <c r="X190" s="264">
        <v>0</v>
      </c>
      <c r="Y190" s="264">
        <v>0</v>
      </c>
      <c r="Z190" s="264">
        <v>0</v>
      </c>
      <c r="AA190" s="264">
        <v>0</v>
      </c>
      <c r="AB190" s="264">
        <v>0</v>
      </c>
      <c r="AC190" s="264">
        <v>0</v>
      </c>
      <c r="AD190" s="264">
        <v>0</v>
      </c>
      <c r="AE190" s="264">
        <v>0</v>
      </c>
      <c r="AF190" s="264">
        <v>0</v>
      </c>
      <c r="AG190" s="264">
        <v>0</v>
      </c>
      <c r="AH190" s="264">
        <v>0</v>
      </c>
      <c r="AI190" s="264">
        <v>0</v>
      </c>
      <c r="AJ190" s="264">
        <v>0</v>
      </c>
      <c r="AK190" s="264">
        <v>0</v>
      </c>
    </row>
    <row r="191" spans="2:37" ht="12" hidden="1" customHeight="1" outlineLevel="1">
      <c r="B191" s="271">
        <v>21</v>
      </c>
      <c r="C191" s="271">
        <v>21</v>
      </c>
      <c r="D191" s="271">
        <v>30</v>
      </c>
      <c r="E191" s="271">
        <v>30</v>
      </c>
      <c r="G191" s="272">
        <v>0</v>
      </c>
      <c r="O191" s="264">
        <v>0</v>
      </c>
      <c r="R191" s="264">
        <v>0</v>
      </c>
      <c r="S191" s="264">
        <v>0</v>
      </c>
      <c r="T191" s="264">
        <v>0</v>
      </c>
      <c r="U191" s="264">
        <v>0</v>
      </c>
      <c r="V191" s="264">
        <v>0</v>
      </c>
      <c r="W191" s="264">
        <v>0</v>
      </c>
      <c r="X191" s="264">
        <v>0</v>
      </c>
      <c r="Y191" s="264">
        <v>0</v>
      </c>
      <c r="Z191" s="264">
        <v>0</v>
      </c>
      <c r="AA191" s="264">
        <v>0</v>
      </c>
      <c r="AB191" s="264">
        <v>0</v>
      </c>
      <c r="AC191" s="264">
        <v>0</v>
      </c>
      <c r="AD191" s="264">
        <v>0</v>
      </c>
      <c r="AE191" s="264">
        <v>0</v>
      </c>
      <c r="AF191" s="264">
        <v>0</v>
      </c>
      <c r="AG191" s="264">
        <v>0</v>
      </c>
      <c r="AH191" s="264">
        <v>0</v>
      </c>
      <c r="AI191" s="264">
        <v>0</v>
      </c>
      <c r="AJ191" s="264">
        <v>0</v>
      </c>
      <c r="AK191" s="264">
        <v>0</v>
      </c>
    </row>
    <row r="192" spans="2:37" ht="12" hidden="1" customHeight="1" outlineLevel="1">
      <c r="B192" s="271">
        <v>22</v>
      </c>
      <c r="C192" s="271">
        <v>22</v>
      </c>
      <c r="D192" s="271">
        <v>30</v>
      </c>
      <c r="E192" s="271">
        <v>30</v>
      </c>
      <c r="G192" s="272">
        <v>0</v>
      </c>
      <c r="O192" s="264">
        <v>0</v>
      </c>
      <c r="R192" s="264">
        <v>0</v>
      </c>
      <c r="S192" s="264">
        <v>0</v>
      </c>
      <c r="T192" s="264">
        <v>0</v>
      </c>
      <c r="U192" s="264">
        <v>0</v>
      </c>
      <c r="V192" s="264">
        <v>0</v>
      </c>
      <c r="W192" s="264">
        <v>0</v>
      </c>
      <c r="X192" s="264">
        <v>0</v>
      </c>
      <c r="Y192" s="264">
        <v>0</v>
      </c>
      <c r="Z192" s="264">
        <v>0</v>
      </c>
      <c r="AA192" s="264">
        <v>0</v>
      </c>
      <c r="AB192" s="264">
        <v>0</v>
      </c>
      <c r="AC192" s="264">
        <v>0</v>
      </c>
      <c r="AD192" s="264">
        <v>0</v>
      </c>
      <c r="AE192" s="264">
        <v>0</v>
      </c>
      <c r="AF192" s="264">
        <v>0</v>
      </c>
      <c r="AG192" s="264">
        <v>0</v>
      </c>
      <c r="AH192" s="264">
        <v>0</v>
      </c>
      <c r="AI192" s="264">
        <v>0</v>
      </c>
      <c r="AJ192" s="264">
        <v>0</v>
      </c>
      <c r="AK192" s="264">
        <v>0</v>
      </c>
    </row>
    <row r="193" spans="2:37" ht="12" hidden="1" customHeight="1" outlineLevel="1">
      <c r="B193" s="271">
        <v>23</v>
      </c>
      <c r="C193" s="271">
        <v>23</v>
      </c>
      <c r="D193" s="271">
        <v>30</v>
      </c>
      <c r="E193" s="271">
        <v>30</v>
      </c>
      <c r="G193" s="272">
        <v>0</v>
      </c>
      <c r="O193" s="264">
        <v>0</v>
      </c>
      <c r="R193" s="264">
        <v>0</v>
      </c>
      <c r="S193" s="264">
        <v>0</v>
      </c>
      <c r="T193" s="264">
        <v>0</v>
      </c>
      <c r="U193" s="264">
        <v>0</v>
      </c>
      <c r="V193" s="264">
        <v>0</v>
      </c>
      <c r="W193" s="264">
        <v>0</v>
      </c>
      <c r="X193" s="264">
        <v>0</v>
      </c>
      <c r="Y193" s="264">
        <v>0</v>
      </c>
      <c r="Z193" s="264">
        <v>0</v>
      </c>
      <c r="AA193" s="264">
        <v>0</v>
      </c>
      <c r="AB193" s="264">
        <v>0</v>
      </c>
      <c r="AC193" s="264">
        <v>0</v>
      </c>
      <c r="AD193" s="264">
        <v>0</v>
      </c>
      <c r="AE193" s="264">
        <v>0</v>
      </c>
      <c r="AF193" s="264">
        <v>0</v>
      </c>
      <c r="AG193" s="264">
        <v>0</v>
      </c>
      <c r="AH193" s="264">
        <v>0</v>
      </c>
      <c r="AI193" s="264">
        <v>0</v>
      </c>
      <c r="AJ193" s="264">
        <v>0</v>
      </c>
      <c r="AK193" s="264">
        <v>0</v>
      </c>
    </row>
    <row r="194" spans="2:37" ht="12" hidden="1" customHeight="1" outlineLevel="1">
      <c r="B194" s="271">
        <v>24</v>
      </c>
      <c r="C194" s="271">
        <v>24</v>
      </c>
      <c r="D194" s="271">
        <v>30</v>
      </c>
      <c r="E194" s="271">
        <v>30</v>
      </c>
      <c r="G194" s="272">
        <v>0</v>
      </c>
      <c r="O194" s="264">
        <v>0</v>
      </c>
      <c r="R194" s="264">
        <v>0</v>
      </c>
      <c r="S194" s="264">
        <v>0</v>
      </c>
      <c r="T194" s="264">
        <v>0</v>
      </c>
      <c r="U194" s="264">
        <v>0</v>
      </c>
      <c r="V194" s="264">
        <v>0</v>
      </c>
      <c r="W194" s="264">
        <v>0</v>
      </c>
      <c r="X194" s="264">
        <v>0</v>
      </c>
      <c r="Y194" s="264">
        <v>0</v>
      </c>
      <c r="Z194" s="264">
        <v>0</v>
      </c>
      <c r="AA194" s="264">
        <v>0</v>
      </c>
      <c r="AB194" s="264">
        <v>0</v>
      </c>
      <c r="AC194" s="264">
        <v>0</v>
      </c>
      <c r="AD194" s="264">
        <v>0</v>
      </c>
      <c r="AE194" s="264">
        <v>0</v>
      </c>
      <c r="AF194" s="264">
        <v>0</v>
      </c>
      <c r="AG194" s="264">
        <v>0</v>
      </c>
      <c r="AH194" s="264">
        <v>0</v>
      </c>
      <c r="AI194" s="264">
        <v>0</v>
      </c>
      <c r="AJ194" s="264">
        <v>0</v>
      </c>
      <c r="AK194" s="264">
        <v>0</v>
      </c>
    </row>
    <row r="195" spans="2:37" ht="12" hidden="1" customHeight="1" outlineLevel="1">
      <c r="B195" s="271">
        <v>25</v>
      </c>
      <c r="C195" s="271">
        <v>25</v>
      </c>
      <c r="D195" s="271">
        <v>30</v>
      </c>
      <c r="E195" s="271">
        <v>30</v>
      </c>
      <c r="G195" s="272">
        <v>0</v>
      </c>
      <c r="O195" s="264">
        <v>0</v>
      </c>
      <c r="R195" s="264">
        <v>0</v>
      </c>
      <c r="S195" s="264">
        <v>0</v>
      </c>
      <c r="T195" s="264">
        <v>0</v>
      </c>
      <c r="U195" s="264">
        <v>0</v>
      </c>
      <c r="V195" s="264">
        <v>0</v>
      </c>
      <c r="W195" s="264">
        <v>0</v>
      </c>
      <c r="X195" s="264">
        <v>0</v>
      </c>
      <c r="Y195" s="264">
        <v>0</v>
      </c>
      <c r="Z195" s="264">
        <v>0</v>
      </c>
      <c r="AA195" s="264">
        <v>0</v>
      </c>
      <c r="AB195" s="264">
        <v>0</v>
      </c>
      <c r="AC195" s="264">
        <v>0</v>
      </c>
      <c r="AD195" s="264">
        <v>0</v>
      </c>
      <c r="AE195" s="264">
        <v>0</v>
      </c>
      <c r="AF195" s="264">
        <v>0</v>
      </c>
      <c r="AG195" s="264">
        <v>0</v>
      </c>
      <c r="AH195" s="264">
        <v>0</v>
      </c>
      <c r="AI195" s="264">
        <v>0</v>
      </c>
      <c r="AJ195" s="264">
        <v>0</v>
      </c>
      <c r="AK195" s="264">
        <v>0</v>
      </c>
    </row>
    <row r="196" spans="2:37" ht="12" hidden="1" customHeight="1" outlineLevel="1">
      <c r="B196" s="271">
        <v>26</v>
      </c>
      <c r="C196" s="271">
        <v>26</v>
      </c>
      <c r="D196" s="271">
        <v>30</v>
      </c>
      <c r="E196" s="271">
        <v>30</v>
      </c>
      <c r="G196" s="272">
        <v>0</v>
      </c>
      <c r="O196" s="264">
        <v>0</v>
      </c>
      <c r="R196" s="264">
        <v>0</v>
      </c>
      <c r="S196" s="264">
        <v>0</v>
      </c>
      <c r="T196" s="264">
        <v>0</v>
      </c>
      <c r="U196" s="264">
        <v>0</v>
      </c>
      <c r="V196" s="264">
        <v>0</v>
      </c>
      <c r="W196" s="264">
        <v>0</v>
      </c>
      <c r="X196" s="264">
        <v>0</v>
      </c>
      <c r="Y196" s="264">
        <v>0</v>
      </c>
      <c r="Z196" s="264">
        <v>0</v>
      </c>
      <c r="AA196" s="264">
        <v>0</v>
      </c>
      <c r="AB196" s="264">
        <v>0</v>
      </c>
      <c r="AC196" s="264">
        <v>0</v>
      </c>
      <c r="AD196" s="264">
        <v>0</v>
      </c>
      <c r="AE196" s="264">
        <v>0</v>
      </c>
      <c r="AF196" s="264">
        <v>0</v>
      </c>
      <c r="AG196" s="264">
        <v>0</v>
      </c>
      <c r="AH196" s="264">
        <v>0</v>
      </c>
      <c r="AI196" s="264">
        <v>0</v>
      </c>
      <c r="AJ196" s="264">
        <v>0</v>
      </c>
      <c r="AK196" s="264">
        <v>0</v>
      </c>
    </row>
    <row r="197" spans="2:37" ht="12" hidden="1" customHeight="1" outlineLevel="1">
      <c r="B197" s="271">
        <v>27</v>
      </c>
      <c r="C197" s="271">
        <v>27</v>
      </c>
      <c r="D197" s="271">
        <v>30</v>
      </c>
      <c r="E197" s="271">
        <v>30</v>
      </c>
      <c r="G197" s="272">
        <v>0</v>
      </c>
      <c r="O197" s="264">
        <v>0</v>
      </c>
      <c r="R197" s="264">
        <v>0</v>
      </c>
      <c r="S197" s="264">
        <v>0</v>
      </c>
      <c r="T197" s="264">
        <v>0</v>
      </c>
      <c r="U197" s="264">
        <v>0</v>
      </c>
      <c r="V197" s="264">
        <v>0</v>
      </c>
      <c r="W197" s="264">
        <v>0</v>
      </c>
      <c r="X197" s="264">
        <v>0</v>
      </c>
      <c r="Y197" s="264">
        <v>0</v>
      </c>
      <c r="Z197" s="264">
        <v>0</v>
      </c>
      <c r="AA197" s="264">
        <v>0</v>
      </c>
      <c r="AB197" s="264">
        <v>0</v>
      </c>
      <c r="AC197" s="264">
        <v>0</v>
      </c>
      <c r="AD197" s="264">
        <v>0</v>
      </c>
      <c r="AE197" s="264">
        <v>0</v>
      </c>
      <c r="AF197" s="264">
        <v>0</v>
      </c>
      <c r="AG197" s="264">
        <v>0</v>
      </c>
      <c r="AH197" s="264">
        <v>0</v>
      </c>
      <c r="AI197" s="264">
        <v>0</v>
      </c>
      <c r="AJ197" s="264">
        <v>0</v>
      </c>
      <c r="AK197" s="264">
        <v>0</v>
      </c>
    </row>
    <row r="198" spans="2:37" ht="12" hidden="1" customHeight="1" outlineLevel="1">
      <c r="B198" s="271">
        <v>28</v>
      </c>
      <c r="C198" s="271">
        <v>28</v>
      </c>
      <c r="D198" s="271">
        <v>30</v>
      </c>
      <c r="E198" s="271">
        <v>30</v>
      </c>
      <c r="G198" s="272">
        <v>0</v>
      </c>
      <c r="O198" s="264">
        <v>0</v>
      </c>
      <c r="R198" s="264">
        <v>0</v>
      </c>
      <c r="S198" s="264">
        <v>0</v>
      </c>
      <c r="T198" s="264">
        <v>0</v>
      </c>
      <c r="U198" s="264">
        <v>0</v>
      </c>
      <c r="V198" s="264">
        <v>0</v>
      </c>
      <c r="W198" s="264">
        <v>0</v>
      </c>
      <c r="X198" s="264">
        <v>0</v>
      </c>
      <c r="Y198" s="264">
        <v>0</v>
      </c>
      <c r="Z198" s="264">
        <v>0</v>
      </c>
      <c r="AA198" s="264">
        <v>0</v>
      </c>
      <c r="AB198" s="264">
        <v>0</v>
      </c>
      <c r="AC198" s="264">
        <v>0</v>
      </c>
      <c r="AD198" s="264">
        <v>0</v>
      </c>
      <c r="AE198" s="264">
        <v>0</v>
      </c>
      <c r="AF198" s="264">
        <v>0</v>
      </c>
      <c r="AG198" s="264">
        <v>0</v>
      </c>
      <c r="AH198" s="264">
        <v>0</v>
      </c>
      <c r="AI198" s="264">
        <v>0</v>
      </c>
      <c r="AJ198" s="264">
        <v>0</v>
      </c>
      <c r="AK198" s="264">
        <v>0</v>
      </c>
    </row>
    <row r="199" spans="2:37" ht="12" hidden="1" customHeight="1" outlineLevel="1">
      <c r="B199" s="271">
        <v>29</v>
      </c>
      <c r="C199" s="271">
        <v>29</v>
      </c>
      <c r="D199" s="271">
        <v>30</v>
      </c>
      <c r="E199" s="271">
        <v>30</v>
      </c>
      <c r="G199" s="272">
        <v>0</v>
      </c>
      <c r="O199" s="264">
        <v>0</v>
      </c>
      <c r="R199" s="264">
        <v>0</v>
      </c>
      <c r="S199" s="264">
        <v>0</v>
      </c>
      <c r="T199" s="264">
        <v>0</v>
      </c>
      <c r="U199" s="264">
        <v>0</v>
      </c>
      <c r="V199" s="264">
        <v>0</v>
      </c>
      <c r="W199" s="264">
        <v>0</v>
      </c>
      <c r="X199" s="264">
        <v>0</v>
      </c>
      <c r="Y199" s="264">
        <v>0</v>
      </c>
      <c r="Z199" s="264">
        <v>0</v>
      </c>
      <c r="AA199" s="264">
        <v>0</v>
      </c>
      <c r="AB199" s="264">
        <v>0</v>
      </c>
      <c r="AC199" s="264">
        <v>0</v>
      </c>
      <c r="AD199" s="264">
        <v>0</v>
      </c>
      <c r="AE199" s="264">
        <v>0</v>
      </c>
      <c r="AF199" s="264">
        <v>0</v>
      </c>
      <c r="AG199" s="264">
        <v>0</v>
      </c>
      <c r="AH199" s="264">
        <v>0</v>
      </c>
      <c r="AI199" s="264">
        <v>0</v>
      </c>
      <c r="AJ199" s="264">
        <v>0</v>
      </c>
      <c r="AK199" s="264">
        <v>0</v>
      </c>
    </row>
    <row r="200" spans="2:37" ht="12" hidden="1" customHeight="1" outlineLevel="1">
      <c r="B200" s="271">
        <v>30</v>
      </c>
      <c r="C200" s="271">
        <v>30</v>
      </c>
      <c r="D200" s="271">
        <v>30</v>
      </c>
      <c r="E200" s="271">
        <v>30</v>
      </c>
      <c r="G200" s="272">
        <v>0</v>
      </c>
      <c r="O200" s="264">
        <v>0</v>
      </c>
      <c r="R200" s="264">
        <v>0</v>
      </c>
      <c r="S200" s="264">
        <v>0</v>
      </c>
      <c r="T200" s="264">
        <v>0</v>
      </c>
      <c r="U200" s="264">
        <v>0</v>
      </c>
      <c r="V200" s="264">
        <v>0</v>
      </c>
      <c r="W200" s="264">
        <v>0</v>
      </c>
      <c r="X200" s="264">
        <v>0</v>
      </c>
      <c r="Y200" s="264">
        <v>0</v>
      </c>
      <c r="Z200" s="264">
        <v>0</v>
      </c>
      <c r="AA200" s="264">
        <v>0</v>
      </c>
      <c r="AB200" s="264">
        <v>0</v>
      </c>
      <c r="AC200" s="264">
        <v>0</v>
      </c>
      <c r="AD200" s="264">
        <v>0</v>
      </c>
      <c r="AE200" s="264">
        <v>0</v>
      </c>
      <c r="AF200" s="264">
        <v>0</v>
      </c>
      <c r="AG200" s="264">
        <v>0</v>
      </c>
      <c r="AH200" s="264">
        <v>0</v>
      </c>
      <c r="AI200" s="264">
        <v>0</v>
      </c>
      <c r="AJ200" s="264">
        <v>0</v>
      </c>
      <c r="AK200" s="264">
        <v>0</v>
      </c>
    </row>
    <row r="201" spans="2:37" ht="12" customHeight="1" collapsed="1">
      <c r="B201" s="271"/>
      <c r="C201" s="271"/>
      <c r="D201" s="271"/>
      <c r="E201" s="271"/>
      <c r="G201" s="272"/>
      <c r="O201" s="264"/>
      <c r="R201" s="264"/>
      <c r="S201" s="264"/>
      <c r="T201" s="264"/>
      <c r="U201" s="264"/>
      <c r="V201" s="264"/>
      <c r="W201" s="264"/>
      <c r="X201" s="264"/>
      <c r="Y201" s="264"/>
      <c r="Z201" s="264"/>
      <c r="AA201" s="264"/>
      <c r="AB201" s="264"/>
      <c r="AC201" s="264"/>
      <c r="AD201" s="264"/>
      <c r="AE201" s="264"/>
      <c r="AF201" s="264"/>
      <c r="AG201" s="264"/>
      <c r="AH201" s="264"/>
      <c r="AI201" s="264"/>
      <c r="AJ201" s="264"/>
      <c r="AK201" s="264"/>
    </row>
    <row r="202" spans="2:37" s="246" customFormat="1" ht="12" customHeight="1">
      <c r="B202" s="269" t="s">
        <v>1</v>
      </c>
      <c r="C202" s="246" t="s">
        <v>237</v>
      </c>
      <c r="G202" s="247">
        <v>30</v>
      </c>
      <c r="H202" s="246" t="s">
        <v>255</v>
      </c>
      <c r="O202" s="270">
        <v>0</v>
      </c>
      <c r="R202" s="270">
        <v>0</v>
      </c>
      <c r="S202" s="270">
        <v>0</v>
      </c>
      <c r="T202" s="270">
        <v>0</v>
      </c>
      <c r="U202" s="270">
        <v>0</v>
      </c>
      <c r="V202" s="270">
        <v>0</v>
      </c>
      <c r="W202" s="270">
        <v>0</v>
      </c>
      <c r="X202" s="270">
        <v>0</v>
      </c>
      <c r="Y202" s="270">
        <v>0</v>
      </c>
      <c r="Z202" s="270">
        <v>0</v>
      </c>
      <c r="AA202" s="270">
        <v>0</v>
      </c>
      <c r="AB202" s="270">
        <v>0</v>
      </c>
      <c r="AC202" s="270">
        <v>0</v>
      </c>
      <c r="AD202" s="270">
        <v>0</v>
      </c>
      <c r="AE202" s="270">
        <v>0</v>
      </c>
      <c r="AF202" s="270">
        <v>0</v>
      </c>
      <c r="AG202" s="270">
        <v>0</v>
      </c>
      <c r="AH202" s="270">
        <v>0</v>
      </c>
      <c r="AI202" s="270">
        <v>0</v>
      </c>
      <c r="AJ202" s="270">
        <v>0</v>
      </c>
      <c r="AK202" s="270">
        <v>0</v>
      </c>
    </row>
    <row r="203" spans="2:37" s="246" customFormat="1" ht="12" customHeight="1">
      <c r="B203" s="269" t="s">
        <v>1</v>
      </c>
      <c r="C203" s="246" t="s">
        <v>247</v>
      </c>
      <c r="G203" s="247"/>
      <c r="M203" s="252" t="s">
        <v>248</v>
      </c>
      <c r="O203" s="270">
        <v>0</v>
      </c>
      <c r="R203" s="270">
        <v>0</v>
      </c>
      <c r="S203" s="270">
        <v>0</v>
      </c>
      <c r="T203" s="270">
        <v>0</v>
      </c>
      <c r="U203" s="270">
        <v>0</v>
      </c>
      <c r="V203" s="270">
        <v>0</v>
      </c>
      <c r="W203" s="270">
        <v>0</v>
      </c>
      <c r="X203" s="270">
        <v>0</v>
      </c>
      <c r="Y203" s="270">
        <v>0</v>
      </c>
      <c r="Z203" s="270">
        <v>0</v>
      </c>
      <c r="AA203" s="270">
        <v>0</v>
      </c>
      <c r="AB203" s="270">
        <v>0</v>
      </c>
      <c r="AC203" s="270">
        <v>0</v>
      </c>
      <c r="AD203" s="270">
        <v>0</v>
      </c>
      <c r="AE203" s="270">
        <v>0</v>
      </c>
      <c r="AF203" s="270">
        <v>0</v>
      </c>
      <c r="AG203" s="270">
        <v>0</v>
      </c>
      <c r="AH203" s="270">
        <v>0</v>
      </c>
      <c r="AI203" s="270">
        <v>0</v>
      </c>
      <c r="AJ203" s="270">
        <v>0</v>
      </c>
      <c r="AK203" s="270">
        <v>0</v>
      </c>
    </row>
    <row r="204" spans="2:37" ht="12" customHeight="1">
      <c r="G204" s="263"/>
    </row>
    <row r="205" spans="2:37" ht="12" hidden="1" customHeight="1" outlineLevel="1">
      <c r="B205" s="271" t="s">
        <v>249</v>
      </c>
      <c r="C205" s="271" t="s">
        <v>250</v>
      </c>
      <c r="D205" s="271" t="s">
        <v>251</v>
      </c>
      <c r="E205" s="271" t="s">
        <v>252</v>
      </c>
      <c r="G205" s="263" t="s">
        <v>253</v>
      </c>
      <c r="H205" s="271"/>
      <c r="J205" s="271"/>
      <c r="K205" s="271"/>
      <c r="L205" s="271"/>
      <c r="M205" s="271"/>
    </row>
    <row r="206" spans="2:37" ht="12" hidden="1" customHeight="1" outlineLevel="1">
      <c r="B206" s="271">
        <v>0</v>
      </c>
      <c r="C206" s="271">
        <v>8</v>
      </c>
      <c r="D206" s="271">
        <v>30</v>
      </c>
      <c r="E206" s="271">
        <v>30</v>
      </c>
      <c r="G206" s="272">
        <v>0</v>
      </c>
      <c r="R206" s="264">
        <v>0</v>
      </c>
      <c r="S206" s="264">
        <v>0</v>
      </c>
      <c r="T206" s="264">
        <v>0</v>
      </c>
      <c r="U206" s="264">
        <v>0</v>
      </c>
      <c r="V206" s="264">
        <v>0</v>
      </c>
      <c r="W206" s="264">
        <v>0</v>
      </c>
      <c r="X206" s="264">
        <v>0</v>
      </c>
      <c r="Y206" s="264">
        <v>0</v>
      </c>
      <c r="Z206" s="264">
        <v>0</v>
      </c>
      <c r="AA206" s="264">
        <v>0</v>
      </c>
      <c r="AB206" s="264">
        <v>0</v>
      </c>
      <c r="AC206" s="264">
        <v>0</v>
      </c>
      <c r="AD206" s="264">
        <v>0</v>
      </c>
      <c r="AE206" s="264">
        <v>0</v>
      </c>
      <c r="AF206" s="264">
        <v>0</v>
      </c>
      <c r="AG206" s="264">
        <v>0</v>
      </c>
      <c r="AH206" s="264">
        <v>0</v>
      </c>
      <c r="AI206" s="264">
        <v>0</v>
      </c>
      <c r="AJ206" s="264">
        <v>0</v>
      </c>
      <c r="AK206" s="264">
        <v>0</v>
      </c>
    </row>
    <row r="207" spans="2:37" ht="12" hidden="1" customHeight="1" outlineLevel="1">
      <c r="B207" s="271">
        <v>1</v>
      </c>
      <c r="C207" s="271">
        <v>8</v>
      </c>
      <c r="D207" s="271">
        <v>30</v>
      </c>
      <c r="E207" s="271">
        <v>30</v>
      </c>
      <c r="G207" s="272">
        <v>0</v>
      </c>
      <c r="R207" s="264">
        <v>0</v>
      </c>
      <c r="S207" s="264">
        <v>0</v>
      </c>
      <c r="T207" s="264">
        <v>0</v>
      </c>
      <c r="U207" s="264">
        <v>0</v>
      </c>
      <c r="V207" s="264">
        <v>0</v>
      </c>
      <c r="W207" s="264">
        <v>0</v>
      </c>
      <c r="X207" s="264">
        <v>0</v>
      </c>
      <c r="Y207" s="264">
        <v>0</v>
      </c>
      <c r="Z207" s="264">
        <v>0</v>
      </c>
      <c r="AA207" s="264">
        <v>0</v>
      </c>
      <c r="AB207" s="264">
        <v>0</v>
      </c>
      <c r="AC207" s="264">
        <v>0</v>
      </c>
      <c r="AD207" s="264">
        <v>0</v>
      </c>
      <c r="AE207" s="264">
        <v>0</v>
      </c>
      <c r="AF207" s="264">
        <v>0</v>
      </c>
      <c r="AG207" s="264">
        <v>0</v>
      </c>
      <c r="AH207" s="264">
        <v>0</v>
      </c>
      <c r="AI207" s="264">
        <v>0</v>
      </c>
      <c r="AJ207" s="264">
        <v>0</v>
      </c>
      <c r="AK207" s="264">
        <v>0</v>
      </c>
    </row>
    <row r="208" spans="2:37" ht="12" hidden="1" customHeight="1" outlineLevel="1">
      <c r="B208" s="271">
        <v>2</v>
      </c>
      <c r="C208" s="271">
        <v>8</v>
      </c>
      <c r="D208" s="271">
        <v>30</v>
      </c>
      <c r="E208" s="271">
        <v>30</v>
      </c>
      <c r="G208" s="272">
        <v>0</v>
      </c>
      <c r="R208" s="264">
        <v>0</v>
      </c>
      <c r="S208" s="264">
        <v>0</v>
      </c>
      <c r="T208" s="264">
        <v>0</v>
      </c>
      <c r="U208" s="264">
        <v>0</v>
      </c>
      <c r="V208" s="264">
        <v>0</v>
      </c>
      <c r="W208" s="264">
        <v>0</v>
      </c>
      <c r="X208" s="264">
        <v>0</v>
      </c>
      <c r="Y208" s="264">
        <v>0</v>
      </c>
      <c r="Z208" s="264">
        <v>0</v>
      </c>
      <c r="AA208" s="264">
        <v>0</v>
      </c>
      <c r="AB208" s="264">
        <v>0</v>
      </c>
      <c r="AC208" s="264">
        <v>0</v>
      </c>
      <c r="AD208" s="264">
        <v>0</v>
      </c>
      <c r="AE208" s="264">
        <v>0</v>
      </c>
      <c r="AF208" s="264">
        <v>0</v>
      </c>
      <c r="AG208" s="264">
        <v>0</v>
      </c>
      <c r="AH208" s="264">
        <v>0</v>
      </c>
      <c r="AI208" s="264">
        <v>0</v>
      </c>
      <c r="AJ208" s="264">
        <v>0</v>
      </c>
      <c r="AK208" s="264">
        <v>0</v>
      </c>
    </row>
    <row r="209" spans="2:37" ht="12" hidden="1" customHeight="1" outlineLevel="1">
      <c r="B209" s="271">
        <v>3</v>
      </c>
      <c r="C209" s="271">
        <v>8</v>
      </c>
      <c r="D209" s="271">
        <v>30</v>
      </c>
      <c r="E209" s="271">
        <v>30</v>
      </c>
      <c r="G209" s="272">
        <v>0</v>
      </c>
      <c r="R209" s="264">
        <v>0</v>
      </c>
      <c r="S209" s="264">
        <v>0</v>
      </c>
      <c r="T209" s="264">
        <v>0</v>
      </c>
      <c r="U209" s="264">
        <v>0</v>
      </c>
      <c r="V209" s="264">
        <v>0</v>
      </c>
      <c r="W209" s="264">
        <v>0</v>
      </c>
      <c r="X209" s="264">
        <v>0</v>
      </c>
      <c r="Y209" s="264">
        <v>0</v>
      </c>
      <c r="Z209" s="264">
        <v>0</v>
      </c>
      <c r="AA209" s="264">
        <v>0</v>
      </c>
      <c r="AB209" s="264">
        <v>0</v>
      </c>
      <c r="AC209" s="264">
        <v>0</v>
      </c>
      <c r="AD209" s="264">
        <v>0</v>
      </c>
      <c r="AE209" s="264">
        <v>0</v>
      </c>
      <c r="AF209" s="264">
        <v>0</v>
      </c>
      <c r="AG209" s="264">
        <v>0</v>
      </c>
      <c r="AH209" s="264">
        <v>0</v>
      </c>
      <c r="AI209" s="264">
        <v>0</v>
      </c>
      <c r="AJ209" s="264">
        <v>0</v>
      </c>
      <c r="AK209" s="264">
        <v>0</v>
      </c>
    </row>
    <row r="210" spans="2:37" ht="12" hidden="1" customHeight="1" outlineLevel="1">
      <c r="B210" s="271">
        <v>4</v>
      </c>
      <c r="C210" s="271">
        <v>8</v>
      </c>
      <c r="D210" s="271">
        <v>30</v>
      </c>
      <c r="E210" s="271">
        <v>30</v>
      </c>
      <c r="G210" s="272">
        <v>0</v>
      </c>
      <c r="R210" s="264">
        <v>0</v>
      </c>
      <c r="S210" s="264">
        <v>0</v>
      </c>
      <c r="T210" s="264">
        <v>0</v>
      </c>
      <c r="U210" s="264">
        <v>0</v>
      </c>
      <c r="V210" s="264">
        <v>0</v>
      </c>
      <c r="W210" s="264">
        <v>0</v>
      </c>
      <c r="X210" s="264">
        <v>0</v>
      </c>
      <c r="Y210" s="264">
        <v>0</v>
      </c>
      <c r="Z210" s="264">
        <v>0</v>
      </c>
      <c r="AA210" s="264">
        <v>0</v>
      </c>
      <c r="AB210" s="264">
        <v>0</v>
      </c>
      <c r="AC210" s="264">
        <v>0</v>
      </c>
      <c r="AD210" s="264">
        <v>0</v>
      </c>
      <c r="AE210" s="264">
        <v>0</v>
      </c>
      <c r="AF210" s="264">
        <v>0</v>
      </c>
      <c r="AG210" s="264">
        <v>0</v>
      </c>
      <c r="AH210" s="264">
        <v>0</v>
      </c>
      <c r="AI210" s="264">
        <v>0</v>
      </c>
      <c r="AJ210" s="264">
        <v>0</v>
      </c>
      <c r="AK210" s="264">
        <v>0</v>
      </c>
    </row>
    <row r="211" spans="2:37" ht="12" hidden="1" customHeight="1" outlineLevel="1">
      <c r="B211" s="271">
        <v>5</v>
      </c>
      <c r="C211" s="271">
        <v>8</v>
      </c>
      <c r="D211" s="271">
        <v>30</v>
      </c>
      <c r="E211" s="271">
        <v>30</v>
      </c>
      <c r="G211" s="272">
        <v>0</v>
      </c>
      <c r="R211" s="264">
        <v>0</v>
      </c>
      <c r="S211" s="264">
        <v>0</v>
      </c>
      <c r="T211" s="264">
        <v>0</v>
      </c>
      <c r="U211" s="264">
        <v>0</v>
      </c>
      <c r="V211" s="264">
        <v>0</v>
      </c>
      <c r="W211" s="264">
        <v>0</v>
      </c>
      <c r="X211" s="264">
        <v>0</v>
      </c>
      <c r="Y211" s="264">
        <v>0</v>
      </c>
      <c r="Z211" s="264">
        <v>0</v>
      </c>
      <c r="AA211" s="264">
        <v>0</v>
      </c>
      <c r="AB211" s="264">
        <v>0</v>
      </c>
      <c r="AC211" s="264">
        <v>0</v>
      </c>
      <c r="AD211" s="264">
        <v>0</v>
      </c>
      <c r="AE211" s="264">
        <v>0</v>
      </c>
      <c r="AF211" s="264">
        <v>0</v>
      </c>
      <c r="AG211" s="264">
        <v>0</v>
      </c>
      <c r="AH211" s="264">
        <v>0</v>
      </c>
      <c r="AI211" s="264">
        <v>0</v>
      </c>
      <c r="AJ211" s="264">
        <v>0</v>
      </c>
      <c r="AK211" s="264">
        <v>0</v>
      </c>
    </row>
    <row r="212" spans="2:37" ht="12" hidden="1" customHeight="1" outlineLevel="1">
      <c r="B212" s="271">
        <v>6</v>
      </c>
      <c r="C212" s="271">
        <v>8</v>
      </c>
      <c r="D212" s="271">
        <v>30</v>
      </c>
      <c r="E212" s="271">
        <v>30</v>
      </c>
      <c r="G212" s="272">
        <v>0</v>
      </c>
      <c r="R212" s="264">
        <v>0</v>
      </c>
      <c r="S212" s="264">
        <v>0</v>
      </c>
      <c r="T212" s="264">
        <v>0</v>
      </c>
      <c r="U212" s="264">
        <v>0</v>
      </c>
      <c r="V212" s="264">
        <v>0</v>
      </c>
      <c r="W212" s="264">
        <v>0</v>
      </c>
      <c r="X212" s="264">
        <v>0</v>
      </c>
      <c r="Y212" s="264">
        <v>0</v>
      </c>
      <c r="Z212" s="264">
        <v>0</v>
      </c>
      <c r="AA212" s="264">
        <v>0</v>
      </c>
      <c r="AB212" s="264">
        <v>0</v>
      </c>
      <c r="AC212" s="264">
        <v>0</v>
      </c>
      <c r="AD212" s="264">
        <v>0</v>
      </c>
      <c r="AE212" s="264">
        <v>0</v>
      </c>
      <c r="AF212" s="264">
        <v>0</v>
      </c>
      <c r="AG212" s="264">
        <v>0</v>
      </c>
      <c r="AH212" s="264">
        <v>0</v>
      </c>
      <c r="AI212" s="264">
        <v>0</v>
      </c>
      <c r="AJ212" s="264">
        <v>0</v>
      </c>
      <c r="AK212" s="264">
        <v>0</v>
      </c>
    </row>
    <row r="213" spans="2:37" ht="12" hidden="1" customHeight="1" outlineLevel="1">
      <c r="B213" s="271">
        <v>7</v>
      </c>
      <c r="C213" s="271">
        <v>8</v>
      </c>
      <c r="D213" s="271">
        <v>30</v>
      </c>
      <c r="E213" s="271">
        <v>30</v>
      </c>
      <c r="G213" s="272">
        <v>0</v>
      </c>
      <c r="R213" s="264">
        <v>0</v>
      </c>
      <c r="S213" s="264">
        <v>0</v>
      </c>
      <c r="T213" s="264">
        <v>0</v>
      </c>
      <c r="U213" s="264">
        <v>0</v>
      </c>
      <c r="V213" s="264">
        <v>0</v>
      </c>
      <c r="W213" s="264">
        <v>0</v>
      </c>
      <c r="X213" s="264">
        <v>0</v>
      </c>
      <c r="Y213" s="264">
        <v>0</v>
      </c>
      <c r="Z213" s="264">
        <v>0</v>
      </c>
      <c r="AA213" s="264">
        <v>0</v>
      </c>
      <c r="AB213" s="264">
        <v>0</v>
      </c>
      <c r="AC213" s="264">
        <v>0</v>
      </c>
      <c r="AD213" s="264">
        <v>0</v>
      </c>
      <c r="AE213" s="264">
        <v>0</v>
      </c>
      <c r="AF213" s="264">
        <v>0</v>
      </c>
      <c r="AG213" s="264">
        <v>0</v>
      </c>
      <c r="AH213" s="264">
        <v>0</v>
      </c>
      <c r="AI213" s="264">
        <v>0</v>
      </c>
      <c r="AJ213" s="264">
        <v>0</v>
      </c>
      <c r="AK213" s="264">
        <v>0</v>
      </c>
    </row>
    <row r="214" spans="2:37" ht="12" hidden="1" customHeight="1" outlineLevel="1">
      <c r="B214" s="271">
        <v>8</v>
      </c>
      <c r="C214" s="271">
        <v>8</v>
      </c>
      <c r="D214" s="271">
        <v>30</v>
      </c>
      <c r="E214" s="271">
        <v>30</v>
      </c>
      <c r="G214" s="272">
        <v>0</v>
      </c>
      <c r="R214" s="264">
        <v>0</v>
      </c>
      <c r="S214" s="264">
        <v>0</v>
      </c>
      <c r="T214" s="264">
        <v>0</v>
      </c>
      <c r="U214" s="264">
        <v>0</v>
      </c>
      <c r="V214" s="264">
        <v>0</v>
      </c>
      <c r="W214" s="264">
        <v>0</v>
      </c>
      <c r="X214" s="264">
        <v>0</v>
      </c>
      <c r="Y214" s="264">
        <v>0</v>
      </c>
      <c r="Z214" s="264">
        <v>0</v>
      </c>
      <c r="AA214" s="264">
        <v>0</v>
      </c>
      <c r="AB214" s="264">
        <v>0</v>
      </c>
      <c r="AC214" s="264">
        <v>0</v>
      </c>
      <c r="AD214" s="264">
        <v>0</v>
      </c>
      <c r="AE214" s="264">
        <v>0</v>
      </c>
      <c r="AF214" s="264">
        <v>0</v>
      </c>
      <c r="AG214" s="264">
        <v>0</v>
      </c>
      <c r="AH214" s="264">
        <v>0</v>
      </c>
      <c r="AI214" s="264">
        <v>0</v>
      </c>
      <c r="AJ214" s="264">
        <v>0</v>
      </c>
      <c r="AK214" s="264">
        <v>0</v>
      </c>
    </row>
    <row r="215" spans="2:37" ht="12" hidden="1" customHeight="1" outlineLevel="1">
      <c r="B215" s="271">
        <v>9</v>
      </c>
      <c r="C215" s="271">
        <v>8</v>
      </c>
      <c r="D215" s="271">
        <v>30</v>
      </c>
      <c r="E215" s="271">
        <v>30</v>
      </c>
      <c r="G215" s="272">
        <v>0</v>
      </c>
      <c r="R215" s="264">
        <v>0</v>
      </c>
      <c r="S215" s="264">
        <v>0</v>
      </c>
      <c r="T215" s="264">
        <v>0</v>
      </c>
      <c r="U215" s="264">
        <v>0</v>
      </c>
      <c r="V215" s="264">
        <v>0</v>
      </c>
      <c r="W215" s="264">
        <v>0</v>
      </c>
      <c r="X215" s="264">
        <v>0</v>
      </c>
      <c r="Y215" s="264">
        <v>0</v>
      </c>
      <c r="Z215" s="264">
        <v>0</v>
      </c>
      <c r="AA215" s="264">
        <v>0</v>
      </c>
      <c r="AB215" s="264">
        <v>0</v>
      </c>
      <c r="AC215" s="264">
        <v>0</v>
      </c>
      <c r="AD215" s="264">
        <v>0</v>
      </c>
      <c r="AE215" s="264">
        <v>0</v>
      </c>
      <c r="AF215" s="264">
        <v>0</v>
      </c>
      <c r="AG215" s="264">
        <v>0</v>
      </c>
      <c r="AH215" s="264">
        <v>0</v>
      </c>
      <c r="AI215" s="264">
        <v>0</v>
      </c>
      <c r="AJ215" s="264">
        <v>0</v>
      </c>
      <c r="AK215" s="264">
        <v>0</v>
      </c>
    </row>
    <row r="216" spans="2:37" ht="12" hidden="1" customHeight="1" outlineLevel="1">
      <c r="B216" s="271">
        <v>10</v>
      </c>
      <c r="C216" s="271">
        <v>8</v>
      </c>
      <c r="D216" s="271">
        <v>30</v>
      </c>
      <c r="E216" s="271">
        <v>30</v>
      </c>
      <c r="G216" s="272">
        <v>0</v>
      </c>
      <c r="R216" s="264">
        <v>0</v>
      </c>
      <c r="S216" s="264">
        <v>0</v>
      </c>
      <c r="T216" s="264">
        <v>0</v>
      </c>
      <c r="U216" s="264">
        <v>0</v>
      </c>
      <c r="V216" s="264">
        <v>0</v>
      </c>
      <c r="W216" s="264">
        <v>0</v>
      </c>
      <c r="X216" s="264">
        <v>0</v>
      </c>
      <c r="Y216" s="264">
        <v>0</v>
      </c>
      <c r="Z216" s="264">
        <v>0</v>
      </c>
      <c r="AA216" s="264">
        <v>0</v>
      </c>
      <c r="AB216" s="264">
        <v>0</v>
      </c>
      <c r="AC216" s="264">
        <v>0</v>
      </c>
      <c r="AD216" s="264">
        <v>0</v>
      </c>
      <c r="AE216" s="264">
        <v>0</v>
      </c>
      <c r="AF216" s="264">
        <v>0</v>
      </c>
      <c r="AG216" s="264">
        <v>0</v>
      </c>
      <c r="AH216" s="264">
        <v>0</v>
      </c>
      <c r="AI216" s="264">
        <v>0</v>
      </c>
      <c r="AJ216" s="264">
        <v>0</v>
      </c>
      <c r="AK216" s="264">
        <v>0</v>
      </c>
    </row>
    <row r="217" spans="2:37" ht="12" hidden="1" customHeight="1" outlineLevel="1">
      <c r="B217" s="271">
        <v>11</v>
      </c>
      <c r="C217" s="271">
        <v>8</v>
      </c>
      <c r="D217" s="271">
        <v>30</v>
      </c>
      <c r="E217" s="271">
        <v>30</v>
      </c>
      <c r="G217" s="272">
        <v>0</v>
      </c>
      <c r="R217" s="264">
        <v>0</v>
      </c>
      <c r="S217" s="264">
        <v>0</v>
      </c>
      <c r="T217" s="264">
        <v>0</v>
      </c>
      <c r="U217" s="264">
        <v>0</v>
      </c>
      <c r="V217" s="264">
        <v>0</v>
      </c>
      <c r="W217" s="264">
        <v>0</v>
      </c>
      <c r="X217" s="264">
        <v>0</v>
      </c>
      <c r="Y217" s="264">
        <v>0</v>
      </c>
      <c r="Z217" s="264">
        <v>0</v>
      </c>
      <c r="AA217" s="264">
        <v>0</v>
      </c>
      <c r="AB217" s="264">
        <v>0</v>
      </c>
      <c r="AC217" s="264">
        <v>0</v>
      </c>
      <c r="AD217" s="264">
        <v>0</v>
      </c>
      <c r="AE217" s="264">
        <v>0</v>
      </c>
      <c r="AF217" s="264">
        <v>0</v>
      </c>
      <c r="AG217" s="264">
        <v>0</v>
      </c>
      <c r="AH217" s="264">
        <v>0</v>
      </c>
      <c r="AI217" s="264">
        <v>0</v>
      </c>
      <c r="AJ217" s="264">
        <v>0</v>
      </c>
      <c r="AK217" s="264">
        <v>0</v>
      </c>
    </row>
    <row r="218" spans="2:37" ht="12" hidden="1" customHeight="1" outlineLevel="1">
      <c r="B218" s="271">
        <v>12</v>
      </c>
      <c r="C218" s="271">
        <v>8</v>
      </c>
      <c r="D218" s="271">
        <v>30</v>
      </c>
      <c r="E218" s="271">
        <v>30</v>
      </c>
      <c r="G218" s="272">
        <v>0</v>
      </c>
      <c r="R218" s="264">
        <v>0</v>
      </c>
      <c r="S218" s="264">
        <v>0</v>
      </c>
      <c r="T218" s="264">
        <v>0</v>
      </c>
      <c r="U218" s="264">
        <v>0</v>
      </c>
      <c r="V218" s="264">
        <v>0</v>
      </c>
      <c r="W218" s="264">
        <v>0</v>
      </c>
      <c r="X218" s="264">
        <v>0</v>
      </c>
      <c r="Y218" s="264">
        <v>0</v>
      </c>
      <c r="Z218" s="264">
        <v>0</v>
      </c>
      <c r="AA218" s="264">
        <v>0</v>
      </c>
      <c r="AB218" s="264">
        <v>0</v>
      </c>
      <c r="AC218" s="264">
        <v>0</v>
      </c>
      <c r="AD218" s="264">
        <v>0</v>
      </c>
      <c r="AE218" s="264">
        <v>0</v>
      </c>
      <c r="AF218" s="264">
        <v>0</v>
      </c>
      <c r="AG218" s="264">
        <v>0</v>
      </c>
      <c r="AH218" s="264">
        <v>0</v>
      </c>
      <c r="AI218" s="264">
        <v>0</v>
      </c>
      <c r="AJ218" s="264">
        <v>0</v>
      </c>
      <c r="AK218" s="264">
        <v>0</v>
      </c>
    </row>
    <row r="219" spans="2:37" ht="12" hidden="1" customHeight="1" outlineLevel="1">
      <c r="B219" s="271">
        <v>13</v>
      </c>
      <c r="C219" s="271">
        <v>8</v>
      </c>
      <c r="D219" s="271">
        <v>30</v>
      </c>
      <c r="E219" s="271">
        <v>30</v>
      </c>
      <c r="G219" s="272">
        <v>0</v>
      </c>
      <c r="R219" s="264">
        <v>0</v>
      </c>
      <c r="S219" s="264">
        <v>0</v>
      </c>
      <c r="T219" s="264">
        <v>0</v>
      </c>
      <c r="U219" s="264">
        <v>0</v>
      </c>
      <c r="V219" s="264">
        <v>0</v>
      </c>
      <c r="W219" s="264">
        <v>0</v>
      </c>
      <c r="X219" s="264">
        <v>0</v>
      </c>
      <c r="Y219" s="264">
        <v>0</v>
      </c>
      <c r="Z219" s="264">
        <v>0</v>
      </c>
      <c r="AA219" s="264">
        <v>0</v>
      </c>
      <c r="AB219" s="264">
        <v>0</v>
      </c>
      <c r="AC219" s="264">
        <v>0</v>
      </c>
      <c r="AD219" s="264">
        <v>0</v>
      </c>
      <c r="AE219" s="264">
        <v>0</v>
      </c>
      <c r="AF219" s="264">
        <v>0</v>
      </c>
      <c r="AG219" s="264">
        <v>0</v>
      </c>
      <c r="AH219" s="264">
        <v>0</v>
      </c>
      <c r="AI219" s="264">
        <v>0</v>
      </c>
      <c r="AJ219" s="264">
        <v>0</v>
      </c>
      <c r="AK219" s="264">
        <v>0</v>
      </c>
    </row>
    <row r="220" spans="2:37" ht="12" hidden="1" customHeight="1" outlineLevel="1">
      <c r="B220" s="271">
        <v>14</v>
      </c>
      <c r="C220" s="271">
        <v>8</v>
      </c>
      <c r="D220" s="271">
        <v>30</v>
      </c>
      <c r="E220" s="271">
        <v>30</v>
      </c>
      <c r="G220" s="272">
        <v>0</v>
      </c>
      <c r="R220" s="264">
        <v>0</v>
      </c>
      <c r="S220" s="264">
        <v>0</v>
      </c>
      <c r="T220" s="264">
        <v>0</v>
      </c>
      <c r="U220" s="264">
        <v>0</v>
      </c>
      <c r="V220" s="264">
        <v>0</v>
      </c>
      <c r="W220" s="264">
        <v>0</v>
      </c>
      <c r="X220" s="264">
        <v>0</v>
      </c>
      <c r="Y220" s="264">
        <v>0</v>
      </c>
      <c r="Z220" s="264">
        <v>0</v>
      </c>
      <c r="AA220" s="264">
        <v>0</v>
      </c>
      <c r="AB220" s="264">
        <v>0</v>
      </c>
      <c r="AC220" s="264">
        <v>0</v>
      </c>
      <c r="AD220" s="264">
        <v>0</v>
      </c>
      <c r="AE220" s="264">
        <v>0</v>
      </c>
      <c r="AF220" s="264">
        <v>0</v>
      </c>
      <c r="AG220" s="264">
        <v>0</v>
      </c>
      <c r="AH220" s="264">
        <v>0</v>
      </c>
      <c r="AI220" s="264">
        <v>0</v>
      </c>
      <c r="AJ220" s="264">
        <v>0</v>
      </c>
      <c r="AK220" s="264">
        <v>0</v>
      </c>
    </row>
    <row r="221" spans="2:37" ht="12" hidden="1" customHeight="1" outlineLevel="1">
      <c r="B221" s="271">
        <v>15</v>
      </c>
      <c r="C221" s="271">
        <v>8</v>
      </c>
      <c r="D221" s="271">
        <v>30</v>
      </c>
      <c r="E221" s="271">
        <v>30</v>
      </c>
      <c r="G221" s="272">
        <v>0</v>
      </c>
      <c r="R221" s="264">
        <v>0</v>
      </c>
      <c r="S221" s="264">
        <v>0</v>
      </c>
      <c r="T221" s="264">
        <v>0</v>
      </c>
      <c r="U221" s="264">
        <v>0</v>
      </c>
      <c r="V221" s="264">
        <v>0</v>
      </c>
      <c r="W221" s="264">
        <v>0</v>
      </c>
      <c r="X221" s="264">
        <v>0</v>
      </c>
      <c r="Y221" s="264">
        <v>0</v>
      </c>
      <c r="Z221" s="264">
        <v>0</v>
      </c>
      <c r="AA221" s="264">
        <v>0</v>
      </c>
      <c r="AB221" s="264">
        <v>0</v>
      </c>
      <c r="AC221" s="264">
        <v>0</v>
      </c>
      <c r="AD221" s="264">
        <v>0</v>
      </c>
      <c r="AE221" s="264">
        <v>0</v>
      </c>
      <c r="AF221" s="264">
        <v>0</v>
      </c>
      <c r="AG221" s="264">
        <v>0</v>
      </c>
      <c r="AH221" s="264">
        <v>0</v>
      </c>
      <c r="AI221" s="264">
        <v>0</v>
      </c>
      <c r="AJ221" s="264">
        <v>0</v>
      </c>
      <c r="AK221" s="264">
        <v>0</v>
      </c>
    </row>
    <row r="222" spans="2:37" ht="12" hidden="1" customHeight="1" outlineLevel="1">
      <c r="B222" s="271">
        <v>16</v>
      </c>
      <c r="C222" s="271">
        <v>8</v>
      </c>
      <c r="D222" s="271">
        <v>30</v>
      </c>
      <c r="E222" s="271">
        <v>30</v>
      </c>
      <c r="G222" s="272">
        <v>0</v>
      </c>
      <c r="R222" s="264">
        <v>0</v>
      </c>
      <c r="S222" s="264">
        <v>0</v>
      </c>
      <c r="T222" s="264">
        <v>0</v>
      </c>
      <c r="U222" s="264">
        <v>0</v>
      </c>
      <c r="V222" s="264">
        <v>0</v>
      </c>
      <c r="W222" s="264">
        <v>0</v>
      </c>
      <c r="X222" s="264">
        <v>0</v>
      </c>
      <c r="Y222" s="264">
        <v>0</v>
      </c>
      <c r="Z222" s="264">
        <v>0</v>
      </c>
      <c r="AA222" s="264">
        <v>0</v>
      </c>
      <c r="AB222" s="264">
        <v>0</v>
      </c>
      <c r="AC222" s="264">
        <v>0</v>
      </c>
      <c r="AD222" s="264">
        <v>0</v>
      </c>
      <c r="AE222" s="264">
        <v>0</v>
      </c>
      <c r="AF222" s="264">
        <v>0</v>
      </c>
      <c r="AG222" s="264">
        <v>0</v>
      </c>
      <c r="AH222" s="264">
        <v>0</v>
      </c>
      <c r="AI222" s="264">
        <v>0</v>
      </c>
      <c r="AJ222" s="264">
        <v>0</v>
      </c>
      <c r="AK222" s="264">
        <v>0</v>
      </c>
    </row>
    <row r="223" spans="2:37" ht="12" hidden="1" customHeight="1" outlineLevel="1">
      <c r="B223" s="271">
        <v>17</v>
      </c>
      <c r="C223" s="271">
        <v>8</v>
      </c>
      <c r="D223" s="271">
        <v>30</v>
      </c>
      <c r="E223" s="271">
        <v>30</v>
      </c>
      <c r="G223" s="272">
        <v>0</v>
      </c>
      <c r="R223" s="264">
        <v>0</v>
      </c>
      <c r="S223" s="264">
        <v>0</v>
      </c>
      <c r="T223" s="264">
        <v>0</v>
      </c>
      <c r="U223" s="264">
        <v>0</v>
      </c>
      <c r="V223" s="264">
        <v>0</v>
      </c>
      <c r="W223" s="264">
        <v>0</v>
      </c>
      <c r="X223" s="264">
        <v>0</v>
      </c>
      <c r="Y223" s="264">
        <v>0</v>
      </c>
      <c r="Z223" s="264">
        <v>0</v>
      </c>
      <c r="AA223" s="264">
        <v>0</v>
      </c>
      <c r="AB223" s="264">
        <v>0</v>
      </c>
      <c r="AC223" s="264">
        <v>0</v>
      </c>
      <c r="AD223" s="264">
        <v>0</v>
      </c>
      <c r="AE223" s="264">
        <v>0</v>
      </c>
      <c r="AF223" s="264">
        <v>0</v>
      </c>
      <c r="AG223" s="264">
        <v>0</v>
      </c>
      <c r="AH223" s="264">
        <v>0</v>
      </c>
      <c r="AI223" s="264">
        <v>0</v>
      </c>
      <c r="AJ223" s="264">
        <v>0</v>
      </c>
      <c r="AK223" s="264">
        <v>0</v>
      </c>
    </row>
    <row r="224" spans="2:37" ht="12" hidden="1" customHeight="1" outlineLevel="1">
      <c r="B224" s="271">
        <v>18</v>
      </c>
      <c r="C224" s="271">
        <v>8</v>
      </c>
      <c r="D224" s="271">
        <v>30</v>
      </c>
      <c r="E224" s="271">
        <v>30</v>
      </c>
      <c r="G224" s="272">
        <v>0</v>
      </c>
      <c r="R224" s="264">
        <v>0</v>
      </c>
      <c r="S224" s="264">
        <v>0</v>
      </c>
      <c r="T224" s="264">
        <v>0</v>
      </c>
      <c r="U224" s="264">
        <v>0</v>
      </c>
      <c r="V224" s="264">
        <v>0</v>
      </c>
      <c r="W224" s="264">
        <v>0</v>
      </c>
      <c r="X224" s="264">
        <v>0</v>
      </c>
      <c r="Y224" s="264">
        <v>0</v>
      </c>
      <c r="Z224" s="264">
        <v>0</v>
      </c>
      <c r="AA224" s="264">
        <v>0</v>
      </c>
      <c r="AB224" s="264">
        <v>0</v>
      </c>
      <c r="AC224" s="264">
        <v>0</v>
      </c>
      <c r="AD224" s="264">
        <v>0</v>
      </c>
      <c r="AE224" s="264">
        <v>0</v>
      </c>
      <c r="AF224" s="264">
        <v>0</v>
      </c>
      <c r="AG224" s="264">
        <v>0</v>
      </c>
      <c r="AH224" s="264">
        <v>0</v>
      </c>
      <c r="AI224" s="264">
        <v>0</v>
      </c>
      <c r="AJ224" s="264">
        <v>0</v>
      </c>
      <c r="AK224" s="264">
        <v>0</v>
      </c>
    </row>
    <row r="225" spans="2:37" ht="12" hidden="1" customHeight="1" outlineLevel="1">
      <c r="B225" s="271">
        <v>19</v>
      </c>
      <c r="C225" s="271">
        <v>8</v>
      </c>
      <c r="D225" s="271">
        <v>30</v>
      </c>
      <c r="E225" s="271">
        <v>30</v>
      </c>
      <c r="G225" s="272">
        <v>0</v>
      </c>
      <c r="R225" s="264">
        <v>0</v>
      </c>
      <c r="S225" s="264">
        <v>0</v>
      </c>
      <c r="T225" s="264">
        <v>0</v>
      </c>
      <c r="U225" s="264">
        <v>0</v>
      </c>
      <c r="V225" s="264">
        <v>0</v>
      </c>
      <c r="W225" s="264">
        <v>0</v>
      </c>
      <c r="X225" s="264">
        <v>0</v>
      </c>
      <c r="Y225" s="264">
        <v>0</v>
      </c>
      <c r="Z225" s="264">
        <v>0</v>
      </c>
      <c r="AA225" s="264">
        <v>0</v>
      </c>
      <c r="AB225" s="264">
        <v>0</v>
      </c>
      <c r="AC225" s="264">
        <v>0</v>
      </c>
      <c r="AD225" s="264">
        <v>0</v>
      </c>
      <c r="AE225" s="264">
        <v>0</v>
      </c>
      <c r="AF225" s="264">
        <v>0</v>
      </c>
      <c r="AG225" s="264">
        <v>0</v>
      </c>
      <c r="AH225" s="264">
        <v>0</v>
      </c>
      <c r="AI225" s="264">
        <v>0</v>
      </c>
      <c r="AJ225" s="264">
        <v>0</v>
      </c>
      <c r="AK225" s="264">
        <v>0</v>
      </c>
    </row>
    <row r="226" spans="2:37" ht="12" hidden="1" customHeight="1" outlineLevel="1">
      <c r="B226" s="271">
        <v>20</v>
      </c>
      <c r="C226" s="271">
        <v>8</v>
      </c>
      <c r="D226" s="271">
        <v>30</v>
      </c>
      <c r="E226" s="271">
        <v>30</v>
      </c>
      <c r="G226" s="272">
        <v>0</v>
      </c>
      <c r="R226" s="264">
        <v>0</v>
      </c>
      <c r="S226" s="264">
        <v>0</v>
      </c>
      <c r="T226" s="264">
        <v>0</v>
      </c>
      <c r="U226" s="264">
        <v>0</v>
      </c>
      <c r="V226" s="264">
        <v>0</v>
      </c>
      <c r="W226" s="264">
        <v>0</v>
      </c>
      <c r="X226" s="264">
        <v>0</v>
      </c>
      <c r="Y226" s="264">
        <v>0</v>
      </c>
      <c r="Z226" s="264">
        <v>0</v>
      </c>
      <c r="AA226" s="264">
        <v>0</v>
      </c>
      <c r="AB226" s="264">
        <v>0</v>
      </c>
      <c r="AC226" s="264">
        <v>0</v>
      </c>
      <c r="AD226" s="264">
        <v>0</v>
      </c>
      <c r="AE226" s="264">
        <v>0</v>
      </c>
      <c r="AF226" s="264">
        <v>0</v>
      </c>
      <c r="AG226" s="264">
        <v>0</v>
      </c>
      <c r="AH226" s="264">
        <v>0</v>
      </c>
      <c r="AI226" s="264">
        <v>0</v>
      </c>
      <c r="AJ226" s="264">
        <v>0</v>
      </c>
      <c r="AK226" s="264">
        <v>0</v>
      </c>
    </row>
    <row r="227" spans="2:37" ht="12" hidden="1" customHeight="1" outlineLevel="1">
      <c r="B227" s="271">
        <v>21</v>
      </c>
      <c r="C227" s="271">
        <v>8</v>
      </c>
      <c r="D227" s="271">
        <v>30</v>
      </c>
      <c r="E227" s="271">
        <v>30</v>
      </c>
      <c r="G227" s="272">
        <v>0</v>
      </c>
      <c r="R227" s="264">
        <v>0</v>
      </c>
      <c r="S227" s="264">
        <v>0</v>
      </c>
      <c r="T227" s="264">
        <v>0</v>
      </c>
      <c r="U227" s="264">
        <v>0</v>
      </c>
      <c r="V227" s="264">
        <v>0</v>
      </c>
      <c r="W227" s="264">
        <v>0</v>
      </c>
      <c r="X227" s="264">
        <v>0</v>
      </c>
      <c r="Y227" s="264">
        <v>0</v>
      </c>
      <c r="Z227" s="264">
        <v>0</v>
      </c>
      <c r="AA227" s="264">
        <v>0</v>
      </c>
      <c r="AB227" s="264">
        <v>0</v>
      </c>
      <c r="AC227" s="264">
        <v>0</v>
      </c>
      <c r="AD227" s="264">
        <v>0</v>
      </c>
      <c r="AE227" s="264">
        <v>0</v>
      </c>
      <c r="AF227" s="264">
        <v>0</v>
      </c>
      <c r="AG227" s="264">
        <v>0</v>
      </c>
      <c r="AH227" s="264">
        <v>0</v>
      </c>
      <c r="AI227" s="264">
        <v>0</v>
      </c>
      <c r="AJ227" s="264">
        <v>0</v>
      </c>
      <c r="AK227" s="264">
        <v>0</v>
      </c>
    </row>
    <row r="228" spans="2:37" ht="12" hidden="1" customHeight="1" outlineLevel="1">
      <c r="B228" s="271">
        <v>22</v>
      </c>
      <c r="C228" s="271">
        <v>8</v>
      </c>
      <c r="D228" s="271">
        <v>30</v>
      </c>
      <c r="E228" s="271">
        <v>30</v>
      </c>
      <c r="G228" s="272">
        <v>0</v>
      </c>
      <c r="R228" s="264">
        <v>0</v>
      </c>
      <c r="S228" s="264">
        <v>0</v>
      </c>
      <c r="T228" s="264">
        <v>0</v>
      </c>
      <c r="U228" s="264">
        <v>0</v>
      </c>
      <c r="V228" s="264">
        <v>0</v>
      </c>
      <c r="W228" s="264">
        <v>0</v>
      </c>
      <c r="X228" s="264">
        <v>0</v>
      </c>
      <c r="Y228" s="264">
        <v>0</v>
      </c>
      <c r="Z228" s="264">
        <v>0</v>
      </c>
      <c r="AA228" s="264">
        <v>0</v>
      </c>
      <c r="AB228" s="264">
        <v>0</v>
      </c>
      <c r="AC228" s="264">
        <v>0</v>
      </c>
      <c r="AD228" s="264">
        <v>0</v>
      </c>
      <c r="AE228" s="264">
        <v>0</v>
      </c>
      <c r="AF228" s="264">
        <v>0</v>
      </c>
      <c r="AG228" s="264">
        <v>0</v>
      </c>
      <c r="AH228" s="264">
        <v>0</v>
      </c>
      <c r="AI228" s="264">
        <v>0</v>
      </c>
      <c r="AJ228" s="264">
        <v>0</v>
      </c>
      <c r="AK228" s="264">
        <v>0</v>
      </c>
    </row>
    <row r="229" spans="2:37" ht="12" hidden="1" customHeight="1" outlineLevel="1">
      <c r="B229" s="271">
        <v>23</v>
      </c>
      <c r="C229" s="271">
        <v>8</v>
      </c>
      <c r="D229" s="271">
        <v>30</v>
      </c>
      <c r="E229" s="271">
        <v>30</v>
      </c>
      <c r="G229" s="272">
        <v>0</v>
      </c>
      <c r="R229" s="264">
        <v>0</v>
      </c>
      <c r="S229" s="264">
        <v>0</v>
      </c>
      <c r="T229" s="264">
        <v>0</v>
      </c>
      <c r="U229" s="264">
        <v>0</v>
      </c>
      <c r="V229" s="264">
        <v>0</v>
      </c>
      <c r="W229" s="264">
        <v>0</v>
      </c>
      <c r="X229" s="264">
        <v>0</v>
      </c>
      <c r="Y229" s="264">
        <v>0</v>
      </c>
      <c r="Z229" s="264">
        <v>0</v>
      </c>
      <c r="AA229" s="264">
        <v>0</v>
      </c>
      <c r="AB229" s="264">
        <v>0</v>
      </c>
      <c r="AC229" s="264">
        <v>0</v>
      </c>
      <c r="AD229" s="264">
        <v>0</v>
      </c>
      <c r="AE229" s="264">
        <v>0</v>
      </c>
      <c r="AF229" s="264">
        <v>0</v>
      </c>
      <c r="AG229" s="264">
        <v>0</v>
      </c>
      <c r="AH229" s="264">
        <v>0</v>
      </c>
      <c r="AI229" s="264">
        <v>0</v>
      </c>
      <c r="AJ229" s="264">
        <v>0</v>
      </c>
      <c r="AK229" s="264">
        <v>0</v>
      </c>
    </row>
    <row r="230" spans="2:37" ht="12" hidden="1" customHeight="1" outlineLevel="1">
      <c r="B230" s="271">
        <v>24</v>
      </c>
      <c r="C230" s="271">
        <v>8</v>
      </c>
      <c r="D230" s="271">
        <v>30</v>
      </c>
      <c r="E230" s="271">
        <v>30</v>
      </c>
      <c r="G230" s="272">
        <v>0</v>
      </c>
      <c r="R230" s="264">
        <v>0</v>
      </c>
      <c r="S230" s="264">
        <v>0</v>
      </c>
      <c r="T230" s="264">
        <v>0</v>
      </c>
      <c r="U230" s="264">
        <v>0</v>
      </c>
      <c r="V230" s="264">
        <v>0</v>
      </c>
      <c r="W230" s="264">
        <v>0</v>
      </c>
      <c r="X230" s="264">
        <v>0</v>
      </c>
      <c r="Y230" s="264">
        <v>0</v>
      </c>
      <c r="Z230" s="264">
        <v>0</v>
      </c>
      <c r="AA230" s="264">
        <v>0</v>
      </c>
      <c r="AB230" s="264">
        <v>0</v>
      </c>
      <c r="AC230" s="264">
        <v>0</v>
      </c>
      <c r="AD230" s="264">
        <v>0</v>
      </c>
      <c r="AE230" s="264">
        <v>0</v>
      </c>
      <c r="AF230" s="264">
        <v>0</v>
      </c>
      <c r="AG230" s="264">
        <v>0</v>
      </c>
      <c r="AH230" s="264">
        <v>0</v>
      </c>
      <c r="AI230" s="264">
        <v>0</v>
      </c>
      <c r="AJ230" s="264">
        <v>0</v>
      </c>
      <c r="AK230" s="264">
        <v>0</v>
      </c>
    </row>
    <row r="231" spans="2:37" ht="12" hidden="1" customHeight="1" outlineLevel="1">
      <c r="B231" s="271">
        <v>25</v>
      </c>
      <c r="C231" s="271">
        <v>8</v>
      </c>
      <c r="D231" s="271">
        <v>30</v>
      </c>
      <c r="E231" s="271">
        <v>30</v>
      </c>
      <c r="G231" s="272">
        <v>0</v>
      </c>
      <c r="R231" s="264">
        <v>0</v>
      </c>
      <c r="S231" s="264">
        <v>0</v>
      </c>
      <c r="T231" s="264">
        <v>0</v>
      </c>
      <c r="U231" s="264">
        <v>0</v>
      </c>
      <c r="V231" s="264">
        <v>0</v>
      </c>
      <c r="W231" s="264">
        <v>0</v>
      </c>
      <c r="X231" s="264">
        <v>0</v>
      </c>
      <c r="Y231" s="264">
        <v>0</v>
      </c>
      <c r="Z231" s="264">
        <v>0</v>
      </c>
      <c r="AA231" s="264">
        <v>0</v>
      </c>
      <c r="AB231" s="264">
        <v>0</v>
      </c>
      <c r="AC231" s="264">
        <v>0</v>
      </c>
      <c r="AD231" s="264">
        <v>0</v>
      </c>
      <c r="AE231" s="264">
        <v>0</v>
      </c>
      <c r="AF231" s="264">
        <v>0</v>
      </c>
      <c r="AG231" s="264">
        <v>0</v>
      </c>
      <c r="AH231" s="264">
        <v>0</v>
      </c>
      <c r="AI231" s="264">
        <v>0</v>
      </c>
      <c r="AJ231" s="264">
        <v>0</v>
      </c>
      <c r="AK231" s="264">
        <v>0</v>
      </c>
    </row>
    <row r="232" spans="2:37" ht="12" hidden="1" customHeight="1" outlineLevel="1">
      <c r="B232" s="271">
        <v>26</v>
      </c>
      <c r="C232" s="271">
        <v>8</v>
      </c>
      <c r="D232" s="271">
        <v>30</v>
      </c>
      <c r="E232" s="271">
        <v>30</v>
      </c>
      <c r="G232" s="272">
        <v>0</v>
      </c>
      <c r="R232" s="264">
        <v>0</v>
      </c>
      <c r="S232" s="264">
        <v>0</v>
      </c>
      <c r="T232" s="264">
        <v>0</v>
      </c>
      <c r="U232" s="264">
        <v>0</v>
      </c>
      <c r="V232" s="264">
        <v>0</v>
      </c>
      <c r="W232" s="264">
        <v>0</v>
      </c>
      <c r="X232" s="264">
        <v>0</v>
      </c>
      <c r="Y232" s="264">
        <v>0</v>
      </c>
      <c r="Z232" s="264">
        <v>0</v>
      </c>
      <c r="AA232" s="264">
        <v>0</v>
      </c>
      <c r="AB232" s="264">
        <v>0</v>
      </c>
      <c r="AC232" s="264">
        <v>0</v>
      </c>
      <c r="AD232" s="264">
        <v>0</v>
      </c>
      <c r="AE232" s="264">
        <v>0</v>
      </c>
      <c r="AF232" s="264">
        <v>0</v>
      </c>
      <c r="AG232" s="264">
        <v>0</v>
      </c>
      <c r="AH232" s="264">
        <v>0</v>
      </c>
      <c r="AI232" s="264">
        <v>0</v>
      </c>
      <c r="AJ232" s="264">
        <v>0</v>
      </c>
      <c r="AK232" s="264">
        <v>0</v>
      </c>
    </row>
    <row r="233" spans="2:37" ht="12" hidden="1" customHeight="1" outlineLevel="1">
      <c r="B233" s="271">
        <v>27</v>
      </c>
      <c r="C233" s="271">
        <v>8</v>
      </c>
      <c r="D233" s="271">
        <v>30</v>
      </c>
      <c r="E233" s="271">
        <v>30</v>
      </c>
      <c r="G233" s="272">
        <v>0</v>
      </c>
      <c r="R233" s="264">
        <v>0</v>
      </c>
      <c r="S233" s="264">
        <v>0</v>
      </c>
      <c r="T233" s="264">
        <v>0</v>
      </c>
      <c r="U233" s="264">
        <v>0</v>
      </c>
      <c r="V233" s="264">
        <v>0</v>
      </c>
      <c r="W233" s="264">
        <v>0</v>
      </c>
      <c r="X233" s="264">
        <v>0</v>
      </c>
      <c r="Y233" s="264">
        <v>0</v>
      </c>
      <c r="Z233" s="264">
        <v>0</v>
      </c>
      <c r="AA233" s="264">
        <v>0</v>
      </c>
      <c r="AB233" s="264">
        <v>0</v>
      </c>
      <c r="AC233" s="264">
        <v>0</v>
      </c>
      <c r="AD233" s="264">
        <v>0</v>
      </c>
      <c r="AE233" s="264">
        <v>0</v>
      </c>
      <c r="AF233" s="264">
        <v>0</v>
      </c>
      <c r="AG233" s="264">
        <v>0</v>
      </c>
      <c r="AH233" s="264">
        <v>0</v>
      </c>
      <c r="AI233" s="264">
        <v>0</v>
      </c>
      <c r="AJ233" s="264">
        <v>0</v>
      </c>
      <c r="AK233" s="264">
        <v>0</v>
      </c>
    </row>
    <row r="234" spans="2:37" ht="12" hidden="1" customHeight="1" outlineLevel="1">
      <c r="B234" s="271">
        <v>28</v>
      </c>
      <c r="C234" s="271">
        <v>8</v>
      </c>
      <c r="D234" s="271">
        <v>30</v>
      </c>
      <c r="E234" s="271">
        <v>30</v>
      </c>
      <c r="G234" s="272">
        <v>0</v>
      </c>
      <c r="R234" s="264">
        <v>0</v>
      </c>
      <c r="S234" s="264">
        <v>0</v>
      </c>
      <c r="T234" s="264">
        <v>0</v>
      </c>
      <c r="U234" s="264">
        <v>0</v>
      </c>
      <c r="V234" s="264">
        <v>0</v>
      </c>
      <c r="W234" s="264">
        <v>0</v>
      </c>
      <c r="X234" s="264">
        <v>0</v>
      </c>
      <c r="Y234" s="264">
        <v>0</v>
      </c>
      <c r="Z234" s="264">
        <v>0</v>
      </c>
      <c r="AA234" s="264">
        <v>0</v>
      </c>
      <c r="AB234" s="264">
        <v>0</v>
      </c>
      <c r="AC234" s="264">
        <v>0</v>
      </c>
      <c r="AD234" s="264">
        <v>0</v>
      </c>
      <c r="AE234" s="264">
        <v>0</v>
      </c>
      <c r="AF234" s="264">
        <v>0</v>
      </c>
      <c r="AG234" s="264">
        <v>0</v>
      </c>
      <c r="AH234" s="264">
        <v>0</v>
      </c>
      <c r="AI234" s="264">
        <v>0</v>
      </c>
      <c r="AJ234" s="264">
        <v>0</v>
      </c>
      <c r="AK234" s="264">
        <v>0</v>
      </c>
    </row>
    <row r="235" spans="2:37" ht="12" hidden="1" customHeight="1" outlineLevel="1">
      <c r="B235" s="271">
        <v>29</v>
      </c>
      <c r="C235" s="271">
        <v>8</v>
      </c>
      <c r="D235" s="271">
        <v>30</v>
      </c>
      <c r="E235" s="271">
        <v>30</v>
      </c>
      <c r="G235" s="272">
        <v>0</v>
      </c>
      <c r="R235" s="264">
        <v>0</v>
      </c>
      <c r="S235" s="264">
        <v>0</v>
      </c>
      <c r="T235" s="264">
        <v>0</v>
      </c>
      <c r="U235" s="264">
        <v>0</v>
      </c>
      <c r="V235" s="264">
        <v>0</v>
      </c>
      <c r="W235" s="264">
        <v>0</v>
      </c>
      <c r="X235" s="264">
        <v>0</v>
      </c>
      <c r="Y235" s="264">
        <v>0</v>
      </c>
      <c r="Z235" s="264">
        <v>0</v>
      </c>
      <c r="AA235" s="264">
        <v>0</v>
      </c>
      <c r="AB235" s="264">
        <v>0</v>
      </c>
      <c r="AC235" s="264">
        <v>0</v>
      </c>
      <c r="AD235" s="264">
        <v>0</v>
      </c>
      <c r="AE235" s="264">
        <v>0</v>
      </c>
      <c r="AF235" s="264">
        <v>0</v>
      </c>
      <c r="AG235" s="264">
        <v>0</v>
      </c>
      <c r="AH235" s="264">
        <v>0</v>
      </c>
      <c r="AI235" s="264">
        <v>0</v>
      </c>
      <c r="AJ235" s="264">
        <v>0</v>
      </c>
      <c r="AK235" s="264">
        <v>0</v>
      </c>
    </row>
    <row r="236" spans="2:37" ht="12" hidden="1" customHeight="1" outlineLevel="1">
      <c r="B236" s="271">
        <v>30</v>
      </c>
      <c r="C236" s="271">
        <v>8</v>
      </c>
      <c r="D236" s="271">
        <v>30</v>
      </c>
      <c r="E236" s="271">
        <v>30</v>
      </c>
      <c r="G236" s="272">
        <v>0</v>
      </c>
      <c r="R236" s="264">
        <v>0</v>
      </c>
      <c r="S236" s="264">
        <v>0</v>
      </c>
      <c r="T236" s="264">
        <v>0</v>
      </c>
      <c r="U236" s="264">
        <v>0</v>
      </c>
      <c r="V236" s="264">
        <v>0</v>
      </c>
      <c r="W236" s="264">
        <v>0</v>
      </c>
      <c r="X236" s="264">
        <v>0</v>
      </c>
      <c r="Y236" s="264">
        <v>0</v>
      </c>
      <c r="Z236" s="264">
        <v>0</v>
      </c>
      <c r="AA236" s="264">
        <v>0</v>
      </c>
      <c r="AB236" s="264">
        <v>0</v>
      </c>
      <c r="AC236" s="264">
        <v>0</v>
      </c>
      <c r="AD236" s="264">
        <v>0</v>
      </c>
      <c r="AE236" s="264">
        <v>0</v>
      </c>
      <c r="AF236" s="264">
        <v>0</v>
      </c>
      <c r="AG236" s="264">
        <v>0</v>
      </c>
      <c r="AH236" s="264">
        <v>0</v>
      </c>
      <c r="AI236" s="264">
        <v>0</v>
      </c>
      <c r="AJ236" s="264">
        <v>0</v>
      </c>
      <c r="AK236" s="264">
        <v>0</v>
      </c>
    </row>
    <row r="237" spans="2:37" ht="12" customHeight="1" collapsed="1">
      <c r="B237" s="271"/>
      <c r="G237" s="263"/>
    </row>
    <row r="238" spans="2:37" s="246" customFormat="1" ht="12" customHeight="1">
      <c r="B238" s="261" t="s">
        <v>256</v>
      </c>
      <c r="C238" s="261"/>
      <c r="D238" s="261"/>
      <c r="E238" s="261"/>
      <c r="F238" s="261"/>
      <c r="G238" s="261"/>
      <c r="H238" s="261"/>
      <c r="I238" s="261"/>
      <c r="J238" s="261"/>
      <c r="K238" s="261"/>
      <c r="L238" s="261"/>
      <c r="M238" s="261"/>
      <c r="N238" s="261"/>
      <c r="O238" s="262"/>
      <c r="P238" s="262"/>
      <c r="Q238" s="262"/>
      <c r="R238" s="262"/>
      <c r="S238" s="262"/>
      <c r="T238" s="262"/>
      <c r="U238" s="262"/>
      <c r="V238" s="262"/>
      <c r="W238" s="262"/>
      <c r="X238" s="262"/>
      <c r="Y238" s="262"/>
      <c r="Z238" s="262"/>
      <c r="AA238" s="262"/>
      <c r="AB238" s="262"/>
      <c r="AC238" s="262"/>
      <c r="AD238" s="262"/>
      <c r="AE238" s="262"/>
      <c r="AF238" s="262"/>
      <c r="AG238" s="262"/>
      <c r="AH238" s="262"/>
      <c r="AI238" s="262"/>
      <c r="AJ238" s="262"/>
      <c r="AK238" s="262"/>
    </row>
    <row r="240" spans="2:37" s="246" customFormat="1" ht="12" customHeight="1">
      <c r="B240" s="256" t="s">
        <v>257</v>
      </c>
      <c r="C240" s="256"/>
      <c r="D240" s="256"/>
      <c r="E240" s="256"/>
      <c r="F240" s="256"/>
      <c r="G240" s="256"/>
      <c r="H240" s="256"/>
      <c r="I240" s="256"/>
      <c r="J240" s="256"/>
      <c r="K240" s="257"/>
      <c r="L240" s="256"/>
      <c r="M240" s="256"/>
      <c r="N240" s="256"/>
      <c r="O240" s="258"/>
      <c r="P240" s="256"/>
      <c r="Q240" s="256"/>
      <c r="R240" s="258"/>
      <c r="S240" s="258"/>
      <c r="T240" s="258"/>
      <c r="U240" s="258"/>
      <c r="V240" s="258"/>
      <c r="W240" s="258"/>
      <c r="X240" s="258"/>
      <c r="Y240" s="258"/>
      <c r="Z240" s="258"/>
      <c r="AA240" s="258"/>
      <c r="AB240" s="258"/>
      <c r="AC240" s="258"/>
      <c r="AD240" s="258"/>
      <c r="AE240" s="258"/>
      <c r="AF240" s="258"/>
      <c r="AG240" s="258"/>
      <c r="AH240" s="258"/>
      <c r="AI240" s="258"/>
      <c r="AJ240" s="258"/>
      <c r="AK240" s="258"/>
    </row>
    <row r="241" spans="2:37" s="246" customFormat="1" ht="12" customHeight="1">
      <c r="K241" s="247"/>
      <c r="O241" s="270"/>
      <c r="R241" s="270"/>
      <c r="S241" s="270"/>
      <c r="T241" s="270"/>
      <c r="U241" s="270"/>
      <c r="V241" s="270"/>
      <c r="W241" s="270"/>
      <c r="X241" s="270"/>
      <c r="Y241" s="270"/>
      <c r="Z241" s="270"/>
      <c r="AA241" s="270"/>
      <c r="AB241" s="270"/>
      <c r="AC241" s="270"/>
      <c r="AD241" s="270"/>
      <c r="AE241" s="270"/>
      <c r="AF241" s="270"/>
      <c r="AG241" s="270"/>
      <c r="AH241" s="270"/>
      <c r="AI241" s="270"/>
      <c r="AJ241" s="270"/>
      <c r="AK241" s="270"/>
    </row>
    <row r="242" spans="2:37" s="246" customFormat="1" ht="12" customHeight="1">
      <c r="B242" s="246" t="s">
        <v>262</v>
      </c>
      <c r="K242" s="247"/>
      <c r="O242" s="270"/>
      <c r="R242" s="264"/>
      <c r="S242" s="264"/>
      <c r="T242" s="264"/>
      <c r="U242" s="264"/>
      <c r="V242" s="264"/>
      <c r="W242" s="264"/>
      <c r="X242" s="264"/>
      <c r="Y242" s="264"/>
      <c r="Z242" s="264"/>
      <c r="AA242" s="264"/>
      <c r="AB242" s="264"/>
      <c r="AC242" s="264"/>
      <c r="AD242" s="264"/>
      <c r="AE242" s="264"/>
      <c r="AF242" s="264"/>
      <c r="AG242" s="264"/>
      <c r="AH242" s="264"/>
      <c r="AI242" s="264"/>
      <c r="AJ242" s="264"/>
      <c r="AK242" s="264"/>
    </row>
    <row r="243" spans="2:37" s="246" customFormat="1" ht="12" customHeight="1">
      <c r="C243" s="252" t="s">
        <v>258</v>
      </c>
      <c r="K243" s="247"/>
      <c r="M243" s="252" t="s">
        <v>234</v>
      </c>
      <c r="O243" s="264">
        <v>1788123711.4394915</v>
      </c>
      <c r="R243" s="264">
        <v>0</v>
      </c>
      <c r="S243" s="264">
        <v>0</v>
      </c>
      <c r="T243" s="264">
        <v>94898719.918999448</v>
      </c>
      <c r="U243" s="264">
        <v>95654425.986013904</v>
      </c>
      <c r="V243" s="264">
        <v>96410132.05302842</v>
      </c>
      <c r="W243" s="264">
        <v>97165838.120042905</v>
      </c>
      <c r="X243" s="264">
        <v>97921544.187057406</v>
      </c>
      <c r="Y243" s="264">
        <v>96057874.995102242</v>
      </c>
      <c r="Z243" s="264">
        <v>96792755.459692225</v>
      </c>
      <c r="AA243" s="264">
        <v>97527635.924282223</v>
      </c>
      <c r="AB243" s="264">
        <v>98262516.388872251</v>
      </c>
      <c r="AC243" s="264">
        <v>98997396.853462219</v>
      </c>
      <c r="AD243" s="264">
        <v>99732277.318052277</v>
      </c>
      <c r="AE243" s="264">
        <v>100467157.78264226</v>
      </c>
      <c r="AF243" s="264">
        <v>101202038.24723227</v>
      </c>
      <c r="AG243" s="264">
        <v>101936918.71182229</v>
      </c>
      <c r="AH243" s="264">
        <v>102671799.17641228</v>
      </c>
      <c r="AI243" s="264">
        <v>103406679.64100228</v>
      </c>
      <c r="AJ243" s="264">
        <v>104141560.10559231</v>
      </c>
      <c r="AK243" s="264">
        <v>104876440.57018232</v>
      </c>
    </row>
    <row r="244" spans="2:37" s="246" customFormat="1" ht="12" customHeight="1">
      <c r="C244" s="252" t="s">
        <v>209</v>
      </c>
      <c r="K244" s="247"/>
      <c r="M244" s="252" t="s">
        <v>242</v>
      </c>
      <c r="O244" s="264">
        <v>160095393.097146</v>
      </c>
      <c r="R244" s="264">
        <v>58726776.243362501</v>
      </c>
      <c r="S244" s="264">
        <v>58792688.323362485</v>
      </c>
      <c r="T244" s="264">
        <v>2354344.0161344996</v>
      </c>
      <c r="U244" s="264">
        <v>2354344.0161344996</v>
      </c>
      <c r="V244" s="264">
        <v>2354344.0161344996</v>
      </c>
      <c r="W244" s="264">
        <v>2354344.0161344996</v>
      </c>
      <c r="X244" s="264">
        <v>2420256.0961344996</v>
      </c>
      <c r="Y244" s="264">
        <v>2354344.0161344996</v>
      </c>
      <c r="Z244" s="264">
        <v>2354344.0161344996</v>
      </c>
      <c r="AA244" s="264">
        <v>2354344.0161344996</v>
      </c>
      <c r="AB244" s="264">
        <v>2354344.0161344996</v>
      </c>
      <c r="AC244" s="264">
        <v>2420256.0961344996</v>
      </c>
      <c r="AD244" s="264">
        <v>2354344.0161344996</v>
      </c>
      <c r="AE244" s="264">
        <v>2354344.0161344996</v>
      </c>
      <c r="AF244" s="264">
        <v>2354344.0161344996</v>
      </c>
      <c r="AG244" s="264">
        <v>2354344.0161344996</v>
      </c>
      <c r="AH244" s="264">
        <v>2420256.0961344996</v>
      </c>
      <c r="AI244" s="264">
        <v>2354344.0161344996</v>
      </c>
      <c r="AJ244" s="264">
        <v>2354344.0161344996</v>
      </c>
      <c r="AK244" s="264">
        <v>2354344.0161344996</v>
      </c>
    </row>
    <row r="245" spans="2:37" s="246" customFormat="1" ht="12" customHeight="1">
      <c r="C245" s="252"/>
      <c r="K245" s="247"/>
      <c r="M245" s="252"/>
      <c r="O245" s="264"/>
      <c r="R245" s="264"/>
      <c r="S245" s="264"/>
      <c r="T245" s="264"/>
      <c r="U245" s="264"/>
      <c r="V245" s="264"/>
      <c r="W245" s="264"/>
      <c r="X245" s="264"/>
      <c r="Y245" s="264"/>
      <c r="Z245" s="264"/>
      <c r="AA245" s="264"/>
      <c r="AB245" s="264"/>
      <c r="AC245" s="264"/>
      <c r="AD245" s="264"/>
      <c r="AE245" s="264"/>
      <c r="AF245" s="264"/>
      <c r="AG245" s="264"/>
      <c r="AH245" s="264"/>
      <c r="AI245" s="264"/>
      <c r="AJ245" s="264"/>
      <c r="AK245" s="264"/>
    </row>
    <row r="246" spans="2:37" s="246" customFormat="1" ht="12" customHeight="1">
      <c r="C246" s="252" t="s">
        <v>346</v>
      </c>
      <c r="K246" s="247"/>
      <c r="M246" s="301">
        <v>18804744.801003989</v>
      </c>
      <c r="O246" s="264"/>
      <c r="R246" s="264">
        <v>18804744.801003989</v>
      </c>
      <c r="S246" s="264">
        <v>18804744.801003989</v>
      </c>
      <c r="T246" s="264">
        <v>18804744.801003989</v>
      </c>
      <c r="U246" s="264">
        <v>18804744.801003989</v>
      </c>
      <c r="V246" s="264">
        <v>18804744.801003989</v>
      </c>
      <c r="W246" s="264">
        <v>18804744.801003989</v>
      </c>
      <c r="X246" s="264">
        <v>18804744.801003989</v>
      </c>
      <c r="Y246" s="264">
        <v>18804744.801003989</v>
      </c>
      <c r="Z246" s="264">
        <v>18804744.801003989</v>
      </c>
      <c r="AA246" s="264">
        <v>18804744.801003989</v>
      </c>
      <c r="AB246" s="264">
        <v>18804744.801003989</v>
      </c>
      <c r="AC246" s="264">
        <v>18804744.801003989</v>
      </c>
      <c r="AD246" s="264">
        <v>18804744.801003989</v>
      </c>
      <c r="AE246" s="264">
        <v>18804744.801003989</v>
      </c>
      <c r="AF246" s="264">
        <v>18804744.801003989</v>
      </c>
      <c r="AG246" s="264">
        <v>18804744.801003989</v>
      </c>
      <c r="AH246" s="264">
        <v>18804744.801003989</v>
      </c>
      <c r="AI246" s="264">
        <v>18804744.801003989</v>
      </c>
      <c r="AJ246" s="264">
        <v>18804744.801003989</v>
      </c>
      <c r="AK246" s="264">
        <v>18804744.801003989</v>
      </c>
    </row>
    <row r="247" spans="2:37" s="246" customFormat="1" ht="12" customHeight="1">
      <c r="C247" s="252"/>
      <c r="K247" s="247"/>
      <c r="M247" s="252"/>
      <c r="O247" s="264"/>
      <c r="R247" s="264"/>
      <c r="S247" s="264"/>
      <c r="T247" s="264"/>
      <c r="U247" s="264"/>
      <c r="V247" s="264"/>
      <c r="W247" s="264"/>
      <c r="X247" s="264"/>
      <c r="Y247" s="264"/>
      <c r="Z247" s="264"/>
      <c r="AA247" s="264"/>
      <c r="AB247" s="264"/>
      <c r="AC247" s="264"/>
      <c r="AD247" s="264"/>
      <c r="AE247" s="264"/>
      <c r="AF247" s="264"/>
      <c r="AG247" s="264"/>
      <c r="AH247" s="264"/>
      <c r="AI247" s="264"/>
      <c r="AJ247" s="264"/>
      <c r="AK247" s="264"/>
    </row>
    <row r="248" spans="2:37" s="246" customFormat="1" ht="12" customHeight="1">
      <c r="C248" s="252" t="s">
        <v>259</v>
      </c>
      <c r="K248" s="247"/>
      <c r="M248" s="252" t="s">
        <v>248</v>
      </c>
      <c r="O248" s="264">
        <v>157741049.08101147</v>
      </c>
      <c r="R248" s="264">
        <v>0</v>
      </c>
      <c r="S248" s="264">
        <v>0</v>
      </c>
      <c r="T248" s="264">
        <v>6528859.1425958332</v>
      </c>
      <c r="U248" s="264">
        <v>6667349.9670743328</v>
      </c>
      <c r="V248" s="264">
        <v>6814496.468082739</v>
      </c>
      <c r="W248" s="264">
        <v>6971452.7358250394</v>
      </c>
      <c r="X248" s="264">
        <v>7139620.1655489318</v>
      </c>
      <c r="Y248" s="264">
        <v>7325793.7114054319</v>
      </c>
      <c r="Z248" s="264">
        <v>7521989.0460833069</v>
      </c>
      <c r="AA248" s="264">
        <v>7736020.3202773519</v>
      </c>
      <c r="AB248" s="264">
        <v>7971454.7218908016</v>
      </c>
      <c r="AC248" s="264">
        <v>8233048.5014613019</v>
      </c>
      <c r="AD248" s="264">
        <v>8535580.5134781152</v>
      </c>
      <c r="AE248" s="264">
        <v>8871915.3729258999</v>
      </c>
      <c r="AF248" s="264">
        <v>9264306.04228165</v>
      </c>
      <c r="AG248" s="264">
        <v>9735174.8455085494</v>
      </c>
      <c r="AH248" s="264">
        <v>10323760.849542174</v>
      </c>
      <c r="AI248" s="264">
        <v>11130512.881587008</v>
      </c>
      <c r="AJ248" s="264">
        <v>12307684.889654258</v>
      </c>
      <c r="AK248" s="264">
        <v>14662028.905788757</v>
      </c>
    </row>
    <row r="249" spans="2:37" s="246" customFormat="1" ht="12" customHeight="1">
      <c r="C249" s="252" t="s">
        <v>260</v>
      </c>
      <c r="G249" s="268">
        <v>0.1</v>
      </c>
      <c r="K249" s="247"/>
      <c r="M249" s="252"/>
      <c r="O249" s="264">
        <v>218353846.93906832</v>
      </c>
      <c r="R249" s="264">
        <v>18804744.801003989</v>
      </c>
      <c r="S249" s="264">
        <v>18804744.801003989</v>
      </c>
      <c r="T249" s="264">
        <v>12275885.658408156</v>
      </c>
      <c r="U249" s="264">
        <v>12137394.833929656</v>
      </c>
      <c r="V249" s="264">
        <v>11990248.33292125</v>
      </c>
      <c r="W249" s="264">
        <v>11833292.065178949</v>
      </c>
      <c r="X249" s="264">
        <v>11665124.635455057</v>
      </c>
      <c r="Y249" s="264">
        <v>11478951.089598557</v>
      </c>
      <c r="Z249" s="264">
        <v>11282755.754920682</v>
      </c>
      <c r="AA249" s="264">
        <v>11068724.480726637</v>
      </c>
      <c r="AB249" s="264">
        <v>10833290.079113187</v>
      </c>
      <c r="AC249" s="264">
        <v>10571696.299542688</v>
      </c>
      <c r="AD249" s="264">
        <v>10269164.287525874</v>
      </c>
      <c r="AE249" s="264">
        <v>9932829.4280780889</v>
      </c>
      <c r="AF249" s="264">
        <v>9540438.7587223388</v>
      </c>
      <c r="AG249" s="264">
        <v>9069569.9554954395</v>
      </c>
      <c r="AH249" s="264">
        <v>8480983.9514618143</v>
      </c>
      <c r="AI249" s="264">
        <v>7674231.9194169808</v>
      </c>
      <c r="AJ249" s="264">
        <v>6497059.9113497306</v>
      </c>
      <c r="AK249" s="264">
        <v>4142715.8952152319</v>
      </c>
    </row>
    <row r="250" spans="2:37" s="246" customFormat="1" ht="12" customHeight="1">
      <c r="C250" s="252" t="s">
        <v>261</v>
      </c>
      <c r="G250" s="268"/>
      <c r="K250" s="247"/>
      <c r="M250" s="252"/>
      <c r="O250" s="264">
        <v>2529671025.054883</v>
      </c>
      <c r="R250" s="264">
        <v>31657819.530309752</v>
      </c>
      <c r="S250" s="264">
        <v>31657819.530309752</v>
      </c>
      <c r="T250" s="264">
        <v>133363784.24084352</v>
      </c>
      <c r="U250" s="264">
        <v>134124186.80634327</v>
      </c>
      <c r="V250" s="264">
        <v>134879634.94419971</v>
      </c>
      <c r="W250" s="264">
        <v>135629468.0640603</v>
      </c>
      <c r="X250" s="264">
        <v>136372884.02049705</v>
      </c>
      <c r="Y250" s="264">
        <v>134195576.49140342</v>
      </c>
      <c r="Z250" s="264">
        <v>134899809.98103121</v>
      </c>
      <c r="AA250" s="264">
        <v>135593834.34703022</v>
      </c>
      <c r="AB250" s="264">
        <v>136275607.76467478</v>
      </c>
      <c r="AC250" s="264">
        <v>136942407.80099699</v>
      </c>
      <c r="AD250" s="264">
        <v>137585775.17901674</v>
      </c>
      <c r="AE250" s="264">
        <v>138209794.12584692</v>
      </c>
      <c r="AF250" s="264">
        <v>138801727.25555813</v>
      </c>
      <c r="AG250" s="264">
        <v>139348740.2413027</v>
      </c>
      <c r="AH250" s="264">
        <v>139828373.01109725</v>
      </c>
      <c r="AI250" s="264">
        <v>140183129.60324228</v>
      </c>
      <c r="AJ250" s="264">
        <v>140325861.29328698</v>
      </c>
      <c r="AK250" s="264">
        <v>139794790.82383192</v>
      </c>
    </row>
    <row r="251" spans="2:37" s="246" customFormat="1" ht="12" customHeight="1">
      <c r="K251" s="247"/>
      <c r="O251" s="270"/>
      <c r="R251" s="264"/>
      <c r="S251" s="264"/>
      <c r="T251" s="264"/>
      <c r="U251" s="264"/>
      <c r="V251" s="264"/>
      <c r="W251" s="264"/>
      <c r="X251" s="264"/>
      <c r="Y251" s="264"/>
      <c r="Z251" s="264"/>
      <c r="AA251" s="264"/>
      <c r="AB251" s="264"/>
      <c r="AC251" s="264"/>
      <c r="AD251" s="264"/>
      <c r="AE251" s="264"/>
      <c r="AF251" s="264"/>
      <c r="AG251" s="264"/>
      <c r="AH251" s="264"/>
      <c r="AI251" s="264"/>
      <c r="AJ251" s="264"/>
      <c r="AK251" s="264"/>
    </row>
    <row r="252" spans="2:37" s="246" customFormat="1" ht="12" customHeight="1">
      <c r="B252" s="250" t="s">
        <v>263</v>
      </c>
      <c r="C252" s="250"/>
      <c r="D252" s="250"/>
      <c r="E252" s="250"/>
      <c r="F252" s="250"/>
      <c r="G252" s="250"/>
      <c r="H252" s="250"/>
      <c r="I252" s="250"/>
      <c r="J252" s="250"/>
      <c r="K252" s="251"/>
      <c r="L252" s="250"/>
      <c r="M252" s="250"/>
      <c r="N252" s="250"/>
      <c r="O252" s="250"/>
      <c r="P252" s="250"/>
      <c r="Q252" s="250"/>
      <c r="R252" s="250"/>
      <c r="S252" s="250"/>
      <c r="T252" s="250"/>
      <c r="U252" s="250"/>
      <c r="V252" s="250"/>
      <c r="W252" s="250"/>
      <c r="X252" s="250"/>
      <c r="Y252" s="250"/>
      <c r="Z252" s="250"/>
      <c r="AA252" s="250"/>
      <c r="AB252" s="250"/>
      <c r="AC252" s="250"/>
      <c r="AD252" s="250"/>
      <c r="AE252" s="250"/>
      <c r="AF252" s="250"/>
      <c r="AG252" s="250"/>
      <c r="AH252" s="250"/>
      <c r="AI252" s="250"/>
      <c r="AJ252" s="250"/>
      <c r="AK252" s="250"/>
    </row>
    <row r="254" spans="2:37" ht="12" customHeight="1">
      <c r="B254" s="273" t="s">
        <v>264</v>
      </c>
      <c r="R254" s="273"/>
      <c r="S254" s="253">
        <v>3.5861114036049545E-2</v>
      </c>
      <c r="T254" s="253">
        <v>4.010530416975093E-2</v>
      </c>
      <c r="U254" s="253">
        <v>3.9124912012888188E-2</v>
      </c>
      <c r="V254" s="253">
        <v>3.9124912012888188E-2</v>
      </c>
      <c r="W254" s="253">
        <v>3.9124912012888188E-2</v>
      </c>
      <c r="X254" s="253">
        <v>3.9124912012888188E-2</v>
      </c>
      <c r="Y254" s="253">
        <v>3.9124912012888188E-2</v>
      </c>
      <c r="Z254" s="253">
        <v>3.9124912012888188E-2</v>
      </c>
      <c r="AA254" s="253">
        <v>3.9124912012888188E-2</v>
      </c>
      <c r="AB254" s="253">
        <v>3.9124912012888188E-2</v>
      </c>
      <c r="AC254" s="253">
        <v>3.9124912012888188E-2</v>
      </c>
      <c r="AD254" s="253">
        <v>3.9124912012888188E-2</v>
      </c>
      <c r="AE254" s="253">
        <v>3.9124912012888188E-2</v>
      </c>
      <c r="AF254" s="253">
        <v>3.9124912012888188E-2</v>
      </c>
      <c r="AG254" s="253">
        <v>3.9124912012888188E-2</v>
      </c>
      <c r="AH254" s="253">
        <v>3.9124912012888188E-2</v>
      </c>
      <c r="AI254" s="253">
        <v>3.9124912012888188E-2</v>
      </c>
      <c r="AJ254" s="253">
        <v>3.9124912012888188E-2</v>
      </c>
      <c r="AK254" s="253">
        <v>3.9124912012888188E-2</v>
      </c>
    </row>
    <row r="255" spans="2:37" ht="12" customHeight="1">
      <c r="B255" s="252" t="s">
        <v>75</v>
      </c>
      <c r="G255" s="252" t="s">
        <v>265</v>
      </c>
      <c r="H255" s="252" t="s">
        <v>266</v>
      </c>
      <c r="J255" s="275">
        <v>0.3</v>
      </c>
      <c r="K255" s="276"/>
      <c r="R255" s="277"/>
      <c r="S255" s="277">
        <v>3.8821975714082857E-2</v>
      </c>
      <c r="T255" s="277">
        <v>4.5156140016110236E-2</v>
      </c>
      <c r="U255" s="277">
        <v>4.5156140016110236E-2</v>
      </c>
      <c r="V255" s="277">
        <v>4.5156140016110236E-2</v>
      </c>
      <c r="W255" s="277">
        <v>4.5156140016110236E-2</v>
      </c>
      <c r="X255" s="277">
        <v>4.5156140016110236E-2</v>
      </c>
      <c r="Y255" s="277">
        <v>4.5156140016110236E-2</v>
      </c>
      <c r="Z255" s="277">
        <v>4.5156140016110236E-2</v>
      </c>
      <c r="AA255" s="277">
        <v>4.5156140016110236E-2</v>
      </c>
      <c r="AB255" s="277">
        <v>4.5156140016110236E-2</v>
      </c>
      <c r="AC255" s="277">
        <v>4.5156140016110236E-2</v>
      </c>
      <c r="AD255" s="277">
        <v>4.5156140016110236E-2</v>
      </c>
      <c r="AE255" s="277">
        <v>4.5156140016110236E-2</v>
      </c>
      <c r="AF255" s="277">
        <v>4.5156140016110236E-2</v>
      </c>
      <c r="AG255" s="277">
        <v>4.5156140016110236E-2</v>
      </c>
      <c r="AH255" s="277">
        <v>4.5156140016110236E-2</v>
      </c>
      <c r="AI255" s="277">
        <v>4.5156140016110236E-2</v>
      </c>
      <c r="AJ255" s="277">
        <v>4.5156140016110236E-2</v>
      </c>
      <c r="AK255" s="277">
        <v>4.5156140016110236E-2</v>
      </c>
    </row>
    <row r="256" spans="2:37" ht="12" customHeight="1">
      <c r="B256" s="252" t="s">
        <v>267</v>
      </c>
      <c r="G256" s="252" t="s">
        <v>268</v>
      </c>
      <c r="H256" s="252" t="s">
        <v>269</v>
      </c>
      <c r="J256" s="275">
        <v>0.1</v>
      </c>
      <c r="K256" s="276"/>
      <c r="S256" s="277">
        <v>1.8518518518518379E-2</v>
      </c>
      <c r="T256" s="277">
        <v>9.8039215686274161E-3</v>
      </c>
      <c r="U256" s="277">
        <v>0</v>
      </c>
      <c r="V256" s="277">
        <v>0</v>
      </c>
      <c r="W256" s="277">
        <v>0</v>
      </c>
      <c r="X256" s="277">
        <v>0</v>
      </c>
      <c r="Y256" s="277">
        <v>0</v>
      </c>
      <c r="Z256" s="277">
        <v>0</v>
      </c>
      <c r="AA256" s="277">
        <v>0</v>
      </c>
      <c r="AB256" s="277">
        <v>0</v>
      </c>
      <c r="AC256" s="277">
        <v>0</v>
      </c>
      <c r="AD256" s="277">
        <v>0</v>
      </c>
      <c r="AE256" s="277">
        <v>0</v>
      </c>
      <c r="AF256" s="277">
        <v>0</v>
      </c>
      <c r="AG256" s="277">
        <v>0</v>
      </c>
      <c r="AH256" s="277">
        <v>0</v>
      </c>
      <c r="AI256" s="277">
        <v>0</v>
      </c>
      <c r="AJ256" s="277">
        <v>0</v>
      </c>
      <c r="AK256" s="277">
        <v>0</v>
      </c>
    </row>
    <row r="257" spans="2:37" ht="12" customHeight="1">
      <c r="B257" s="252" t="s">
        <v>344</v>
      </c>
      <c r="G257" s="252" t="s">
        <v>344</v>
      </c>
      <c r="H257" s="252" t="s">
        <v>221</v>
      </c>
      <c r="J257" s="275">
        <v>0.1</v>
      </c>
      <c r="K257" s="276"/>
      <c r="S257" s="277">
        <v>2.9516816129314227E-2</v>
      </c>
      <c r="T257" s="277">
        <v>0.03</v>
      </c>
      <c r="U257" s="277">
        <v>0.03</v>
      </c>
      <c r="V257" s="277">
        <v>0.03</v>
      </c>
      <c r="W257" s="277">
        <v>0.03</v>
      </c>
      <c r="X257" s="277">
        <v>0.03</v>
      </c>
      <c r="Y257" s="277">
        <v>0.03</v>
      </c>
      <c r="Z257" s="277">
        <v>0.03</v>
      </c>
      <c r="AA257" s="277">
        <v>0.03</v>
      </c>
      <c r="AB257" s="277">
        <v>0.03</v>
      </c>
      <c r="AC257" s="277">
        <v>0.03</v>
      </c>
      <c r="AD257" s="277">
        <v>0.03</v>
      </c>
      <c r="AE257" s="277">
        <v>0.03</v>
      </c>
      <c r="AF257" s="277">
        <v>0.03</v>
      </c>
      <c r="AG257" s="277">
        <v>0.03</v>
      </c>
      <c r="AH257" s="277">
        <v>0.03</v>
      </c>
      <c r="AI257" s="277">
        <v>0.03</v>
      </c>
      <c r="AJ257" s="277">
        <v>0.03</v>
      </c>
      <c r="AK257" s="277">
        <v>0.03</v>
      </c>
    </row>
    <row r="258" spans="2:37" ht="12" customHeight="1">
      <c r="B258" s="252" t="s">
        <v>345</v>
      </c>
      <c r="G258" s="252" t="s">
        <v>270</v>
      </c>
      <c r="H258" s="252" t="s">
        <v>221</v>
      </c>
      <c r="J258" s="275">
        <v>0.5</v>
      </c>
      <c r="K258" s="276"/>
      <c r="S258" s="277">
        <v>3.8821975714082857E-2</v>
      </c>
      <c r="T258" s="277">
        <v>4.5156140016110236E-2</v>
      </c>
      <c r="U258" s="277">
        <v>4.5156140016110236E-2</v>
      </c>
      <c r="V258" s="277">
        <v>4.5156140016110236E-2</v>
      </c>
      <c r="W258" s="277">
        <v>4.5156140016110236E-2</v>
      </c>
      <c r="X258" s="277">
        <v>4.5156140016110236E-2</v>
      </c>
      <c r="Y258" s="277">
        <v>4.5156140016110236E-2</v>
      </c>
      <c r="Z258" s="277">
        <v>4.5156140016110236E-2</v>
      </c>
      <c r="AA258" s="277">
        <v>4.5156140016110236E-2</v>
      </c>
      <c r="AB258" s="277">
        <v>4.5156140016110236E-2</v>
      </c>
      <c r="AC258" s="277">
        <v>4.5156140016110236E-2</v>
      </c>
      <c r="AD258" s="277">
        <v>4.5156140016110236E-2</v>
      </c>
      <c r="AE258" s="277">
        <v>4.5156140016110236E-2</v>
      </c>
      <c r="AF258" s="277">
        <v>4.5156140016110236E-2</v>
      </c>
      <c r="AG258" s="277">
        <v>4.5156140016110236E-2</v>
      </c>
      <c r="AH258" s="277">
        <v>4.5156140016110236E-2</v>
      </c>
      <c r="AI258" s="277">
        <v>4.5156140016110236E-2</v>
      </c>
      <c r="AJ258" s="277">
        <v>4.5156140016110236E-2</v>
      </c>
      <c r="AK258" s="277">
        <v>4.5156140016110236E-2</v>
      </c>
    </row>
    <row r="260" spans="2:37" ht="12" customHeight="1">
      <c r="B260" s="273" t="s">
        <v>340</v>
      </c>
      <c r="S260" s="274"/>
      <c r="T260" s="274"/>
      <c r="U260" s="274"/>
      <c r="V260" s="274"/>
      <c r="W260" s="274"/>
      <c r="X260" s="274"/>
      <c r="Y260" s="274"/>
      <c r="Z260" s="274"/>
      <c r="AA260" s="274"/>
      <c r="AB260" s="274"/>
      <c r="AC260" s="274"/>
      <c r="AD260" s="274"/>
      <c r="AE260" s="274"/>
      <c r="AF260" s="274"/>
      <c r="AG260" s="274"/>
      <c r="AH260" s="274"/>
      <c r="AI260" s="274"/>
      <c r="AJ260" s="274"/>
      <c r="AK260" s="274"/>
    </row>
    <row r="261" spans="2:37" ht="12" customHeight="1">
      <c r="B261" s="252" t="s">
        <v>341</v>
      </c>
      <c r="K261" s="304">
        <v>3</v>
      </c>
      <c r="L261" s="304">
        <v>20</v>
      </c>
      <c r="M261" s="304"/>
      <c r="R261" s="252">
        <v>0</v>
      </c>
      <c r="S261" s="252">
        <v>0</v>
      </c>
      <c r="T261" s="252">
        <v>1</v>
      </c>
      <c r="U261" s="252">
        <v>1</v>
      </c>
      <c r="V261" s="252">
        <v>1</v>
      </c>
      <c r="W261" s="252">
        <v>1</v>
      </c>
      <c r="X261" s="252">
        <v>1</v>
      </c>
      <c r="Y261" s="252">
        <v>1</v>
      </c>
      <c r="Z261" s="252">
        <v>1</v>
      </c>
      <c r="AA261" s="252">
        <v>1</v>
      </c>
      <c r="AB261" s="252">
        <v>1</v>
      </c>
      <c r="AC261" s="252">
        <v>1</v>
      </c>
      <c r="AD261" s="252">
        <v>1</v>
      </c>
      <c r="AE261" s="252">
        <v>1</v>
      </c>
      <c r="AF261" s="252">
        <v>1</v>
      </c>
      <c r="AG261" s="252">
        <v>1</v>
      </c>
      <c r="AH261" s="252">
        <v>1</v>
      </c>
      <c r="AI261" s="252">
        <v>1</v>
      </c>
      <c r="AJ261" s="252">
        <v>1</v>
      </c>
      <c r="AK261" s="252">
        <v>1</v>
      </c>
    </row>
    <row r="262" spans="2:37" ht="12" customHeight="1">
      <c r="K262" s="304"/>
      <c r="L262" s="304"/>
      <c r="M262" s="304"/>
    </row>
    <row r="263" spans="2:37" s="246" customFormat="1" ht="12" customHeight="1">
      <c r="B263" s="250" t="s">
        <v>271</v>
      </c>
      <c r="C263" s="250"/>
      <c r="D263" s="250"/>
      <c r="E263" s="250"/>
      <c r="F263" s="250"/>
      <c r="G263" s="250"/>
      <c r="H263" s="250"/>
      <c r="I263" s="250"/>
      <c r="J263" s="250"/>
      <c r="K263" s="251"/>
      <c r="L263" s="250"/>
      <c r="M263" s="250"/>
      <c r="N263" s="250"/>
      <c r="O263" s="250"/>
      <c r="P263" s="250"/>
      <c r="Q263" s="250"/>
      <c r="R263" s="250"/>
      <c r="S263" s="250"/>
      <c r="T263" s="250"/>
      <c r="U263" s="250"/>
      <c r="V263" s="250"/>
      <c r="W263" s="250"/>
      <c r="X263" s="250"/>
      <c r="Y263" s="250"/>
      <c r="Z263" s="250"/>
      <c r="AA263" s="250"/>
      <c r="AB263" s="250"/>
      <c r="AC263" s="250"/>
      <c r="AD263" s="250"/>
      <c r="AE263" s="250"/>
      <c r="AF263" s="250"/>
      <c r="AG263" s="250"/>
      <c r="AH263" s="250"/>
      <c r="AI263" s="250"/>
      <c r="AJ263" s="250"/>
      <c r="AK263" s="250"/>
    </row>
    <row r="264" spans="2:37" ht="12" customHeight="1">
      <c r="O264" s="264"/>
    </row>
    <row r="265" spans="2:37" s="246" customFormat="1" ht="12" customHeight="1">
      <c r="B265" s="246" t="s">
        <v>272</v>
      </c>
      <c r="O265" s="266"/>
    </row>
    <row r="267" spans="2:37" ht="12" customHeight="1">
      <c r="B267" s="273" t="s">
        <v>273</v>
      </c>
      <c r="O267" s="278"/>
    </row>
    <row r="268" spans="2:37" ht="12" customHeight="1">
      <c r="O268" s="264"/>
    </row>
    <row r="269" spans="2:37" s="246" customFormat="1" ht="12" customHeight="1">
      <c r="B269" s="269" t="s">
        <v>1</v>
      </c>
      <c r="C269" s="246" t="s">
        <v>274</v>
      </c>
      <c r="O269" s="270">
        <v>2466355385.9942636</v>
      </c>
      <c r="R269" s="270">
        <v>0</v>
      </c>
      <c r="S269" s="270">
        <v>0</v>
      </c>
      <c r="T269" s="270">
        <v>133363784.24084352</v>
      </c>
      <c r="U269" s="270">
        <v>134124186.80634327</v>
      </c>
      <c r="V269" s="270">
        <v>134879634.94419971</v>
      </c>
      <c r="W269" s="270">
        <v>135629468.0640603</v>
      </c>
      <c r="X269" s="270">
        <v>136372884.02049705</v>
      </c>
      <c r="Y269" s="270">
        <v>134195576.49140342</v>
      </c>
      <c r="Z269" s="270">
        <v>134899809.98103121</v>
      </c>
      <c r="AA269" s="270">
        <v>135593834.34703022</v>
      </c>
      <c r="AB269" s="270">
        <v>136275607.76467478</v>
      </c>
      <c r="AC269" s="270">
        <v>136942407.80099699</v>
      </c>
      <c r="AD269" s="270">
        <v>137585775.17901674</v>
      </c>
      <c r="AE269" s="270">
        <v>138209794.12584692</v>
      </c>
      <c r="AF269" s="270">
        <v>138801727.25555813</v>
      </c>
      <c r="AG269" s="270">
        <v>139348740.2413027</v>
      </c>
      <c r="AH269" s="270">
        <v>139828373.01109725</v>
      </c>
      <c r="AI269" s="270">
        <v>140183129.60324228</v>
      </c>
      <c r="AJ269" s="270">
        <v>140325861.29328698</v>
      </c>
      <c r="AK269" s="270">
        <v>139794790.82383192</v>
      </c>
    </row>
    <row r="270" spans="2:37" s="246" customFormat="1" ht="12" customHeight="1">
      <c r="B270" s="269"/>
      <c r="C270" s="246" t="s">
        <v>275</v>
      </c>
      <c r="J270" s="300"/>
      <c r="K270" s="303">
        <v>1</v>
      </c>
      <c r="O270" s="270">
        <v>2466355385.9942636</v>
      </c>
      <c r="R270" s="270">
        <v>0</v>
      </c>
      <c r="S270" s="270">
        <v>0</v>
      </c>
      <c r="T270" s="270">
        <v>133363784.24084352</v>
      </c>
      <c r="U270" s="270">
        <v>134124186.80634327</v>
      </c>
      <c r="V270" s="270">
        <v>134879634.94419971</v>
      </c>
      <c r="W270" s="270">
        <v>135629468.0640603</v>
      </c>
      <c r="X270" s="270">
        <v>136372884.02049705</v>
      </c>
      <c r="Y270" s="270">
        <v>134195576.49140342</v>
      </c>
      <c r="Z270" s="270">
        <v>134899809.98103121</v>
      </c>
      <c r="AA270" s="270">
        <v>135593834.34703022</v>
      </c>
      <c r="AB270" s="270">
        <v>136275607.76467478</v>
      </c>
      <c r="AC270" s="270">
        <v>136942407.80099699</v>
      </c>
      <c r="AD270" s="270">
        <v>137585775.17901674</v>
      </c>
      <c r="AE270" s="270">
        <v>138209794.12584692</v>
      </c>
      <c r="AF270" s="270">
        <v>138801727.25555813</v>
      </c>
      <c r="AG270" s="270">
        <v>139348740.2413027</v>
      </c>
      <c r="AH270" s="270">
        <v>139828373.01109725</v>
      </c>
      <c r="AI270" s="270">
        <v>140183129.60324228</v>
      </c>
      <c r="AJ270" s="270">
        <v>140325861.29328698</v>
      </c>
      <c r="AK270" s="270">
        <v>139794790.82383192</v>
      </c>
    </row>
    <row r="271" spans="2:37" ht="12" customHeight="1">
      <c r="B271" s="271"/>
      <c r="C271" s="252" t="s">
        <v>343</v>
      </c>
      <c r="I271" s="247" t="s">
        <v>9</v>
      </c>
      <c r="J271" s="300"/>
      <c r="K271" s="308">
        <v>0.10269651826466575</v>
      </c>
      <c r="L271" s="246" t="s">
        <v>304</v>
      </c>
      <c r="O271" s="264">
        <v>2466355385.9942636</v>
      </c>
      <c r="R271" s="264">
        <v>0</v>
      </c>
      <c r="S271" s="264">
        <v>0</v>
      </c>
      <c r="T271" s="264">
        <v>133363784.24084352</v>
      </c>
      <c r="U271" s="264">
        <v>134124186.80634327</v>
      </c>
      <c r="V271" s="264">
        <v>134879634.94419971</v>
      </c>
      <c r="W271" s="264">
        <v>135629468.0640603</v>
      </c>
      <c r="X271" s="264">
        <v>136372884.02049705</v>
      </c>
      <c r="Y271" s="264">
        <v>134195576.49140342</v>
      </c>
      <c r="Z271" s="264">
        <v>134899809.98103121</v>
      </c>
      <c r="AA271" s="264">
        <v>135593834.34703022</v>
      </c>
      <c r="AB271" s="264">
        <v>136275607.76467478</v>
      </c>
      <c r="AC271" s="264">
        <v>136942407.80099699</v>
      </c>
      <c r="AD271" s="264">
        <v>137585775.17901674</v>
      </c>
      <c r="AE271" s="264">
        <v>138209794.12584692</v>
      </c>
      <c r="AF271" s="264">
        <v>138801727.25555813</v>
      </c>
      <c r="AG271" s="264">
        <v>139348740.2413027</v>
      </c>
      <c r="AH271" s="264">
        <v>139828373.01109725</v>
      </c>
      <c r="AI271" s="264">
        <v>140183129.60324228</v>
      </c>
      <c r="AJ271" s="264">
        <v>140325861.29328698</v>
      </c>
      <c r="AK271" s="264">
        <v>139794790.82383192</v>
      </c>
    </row>
    <row r="272" spans="2:37" s="246" customFormat="1" ht="12" customHeight="1">
      <c r="B272" s="269"/>
      <c r="C272" s="246" t="s">
        <v>276</v>
      </c>
      <c r="J272" s="300"/>
      <c r="O272" s="270">
        <v>0</v>
      </c>
      <c r="R272" s="270">
        <v>0</v>
      </c>
      <c r="S272" s="270">
        <v>0</v>
      </c>
      <c r="T272" s="270">
        <v>0</v>
      </c>
      <c r="U272" s="270">
        <v>0</v>
      </c>
      <c r="V272" s="270">
        <v>0</v>
      </c>
      <c r="W272" s="270">
        <v>0</v>
      </c>
      <c r="X272" s="270">
        <v>0</v>
      </c>
      <c r="Y272" s="270">
        <v>0</v>
      </c>
      <c r="Z272" s="270">
        <v>0</v>
      </c>
      <c r="AA272" s="270">
        <v>0</v>
      </c>
      <c r="AB272" s="270">
        <v>0</v>
      </c>
      <c r="AC272" s="270">
        <v>0</v>
      </c>
      <c r="AD272" s="270">
        <v>0</v>
      </c>
      <c r="AE272" s="270">
        <v>0</v>
      </c>
      <c r="AF272" s="270">
        <v>0</v>
      </c>
      <c r="AG272" s="270">
        <v>0</v>
      </c>
      <c r="AH272" s="270">
        <v>0</v>
      </c>
      <c r="AI272" s="270">
        <v>0</v>
      </c>
      <c r="AJ272" s="270">
        <v>0</v>
      </c>
      <c r="AK272" s="270">
        <v>0</v>
      </c>
    </row>
    <row r="273" spans="2:37" ht="12" customHeight="1">
      <c r="B273" s="271"/>
      <c r="C273" s="252" t="s">
        <v>277</v>
      </c>
      <c r="O273" s="264">
        <v>0</v>
      </c>
      <c r="R273" s="264">
        <v>0</v>
      </c>
      <c r="S273" s="264">
        <v>0</v>
      </c>
      <c r="T273" s="264">
        <v>0</v>
      </c>
      <c r="U273" s="264">
        <v>0</v>
      </c>
      <c r="V273" s="264">
        <v>0</v>
      </c>
      <c r="W273" s="264">
        <v>0</v>
      </c>
      <c r="X273" s="264">
        <v>0</v>
      </c>
      <c r="Y273" s="264">
        <v>0</v>
      </c>
      <c r="Z273" s="264">
        <v>0</v>
      </c>
      <c r="AA273" s="264">
        <v>0</v>
      </c>
      <c r="AB273" s="264">
        <v>0</v>
      </c>
      <c r="AC273" s="264">
        <v>0</v>
      </c>
      <c r="AD273" s="264">
        <v>0</v>
      </c>
      <c r="AE273" s="264">
        <v>0</v>
      </c>
      <c r="AF273" s="264">
        <v>0</v>
      </c>
      <c r="AG273" s="264">
        <v>0</v>
      </c>
      <c r="AH273" s="264">
        <v>0</v>
      </c>
      <c r="AI273" s="264">
        <v>0</v>
      </c>
      <c r="AJ273" s="264">
        <v>0</v>
      </c>
      <c r="AK273" s="264">
        <v>0</v>
      </c>
    </row>
    <row r="274" spans="2:37" ht="12" customHeight="1">
      <c r="B274" s="271"/>
    </row>
    <row r="275" spans="2:37" ht="12" customHeight="1">
      <c r="B275" s="271" t="s">
        <v>3</v>
      </c>
      <c r="C275" s="252" t="s">
        <v>278</v>
      </c>
      <c r="O275" s="264">
        <v>-266399731.32867941</v>
      </c>
      <c r="R275" s="264">
        <v>131734.01565814042</v>
      </c>
      <c r="S275" s="264">
        <v>55829.192758140394</v>
      </c>
      <c r="T275" s="264">
        <v>-14497763.515096946</v>
      </c>
      <c r="U275" s="264">
        <v>-14570817.788894698</v>
      </c>
      <c r="V275" s="264">
        <v>-14642853.89288868</v>
      </c>
      <c r="W275" s="264">
        <v>-14714094.791015316</v>
      </c>
      <c r="X275" s="264">
        <v>-14784426.882436413</v>
      </c>
      <c r="Y275" s="264">
        <v>-14562268.568659689</v>
      </c>
      <c r="Z275" s="264">
        <v>-14628014.774265349</v>
      </c>
      <c r="AA275" s="264">
        <v>-14692315.151021302</v>
      </c>
      <c r="AB275" s="264">
        <v>-14754880.533157606</v>
      </c>
      <c r="AC275" s="264">
        <v>-14815325.366314318</v>
      </c>
      <c r="AD275" s="264">
        <v>-14872451.637111407</v>
      </c>
      <c r="AE275" s="264">
        <v>-14926837.758897893</v>
      </c>
      <c r="AF275" s="264">
        <v>-14976679.847156722</v>
      </c>
      <c r="AG275" s="264">
        <v>-15020160.28847681</v>
      </c>
      <c r="AH275" s="264">
        <v>-15054098.25938879</v>
      </c>
      <c r="AI275" s="264">
        <v>-15070351.10992682</v>
      </c>
      <c r="AJ275" s="264">
        <v>-15056576.728798274</v>
      </c>
      <c r="AK275" s="264">
        <v>-14947377.643588673</v>
      </c>
    </row>
    <row r="276" spans="2:37" ht="12" customHeight="1">
      <c r="B276" s="271"/>
      <c r="C276" s="252" t="s">
        <v>151</v>
      </c>
      <c r="M276" s="281">
        <v>1.0348357948274642E-2</v>
      </c>
      <c r="O276" s="264">
        <v>-25522728.36192371</v>
      </c>
      <c r="R276" s="264">
        <v>23498.500090370992</v>
      </c>
      <c r="S276" s="264">
        <v>9958.7208703709894</v>
      </c>
      <c r="T276" s="264">
        <v>-1396626.7675719319</v>
      </c>
      <c r="U276" s="264">
        <v>-1402876.1016381551</v>
      </c>
      <c r="V276" s="264">
        <v>-1408988.0043643075</v>
      </c>
      <c r="W276" s="264">
        <v>-1415008.1394475994</v>
      </c>
      <c r="X276" s="264">
        <v>-1420923.397224765</v>
      </c>
      <c r="Y276" s="264">
        <v>-1400714.3867835354</v>
      </c>
      <c r="Z276" s="264">
        <v>-1406161.0869300275</v>
      </c>
      <c r="AA276" s="264">
        <v>-1411440.9368167734</v>
      </c>
      <c r="AB276" s="264">
        <v>-1416520.566391825</v>
      </c>
      <c r="AC276" s="264">
        <v>-1421355.4822525808</v>
      </c>
      <c r="AD276" s="264">
        <v>-1425807.432320534</v>
      </c>
      <c r="AE276" s="264">
        <v>-1429943.1661404492</v>
      </c>
      <c r="AF276" s="264">
        <v>-1433554.5134297344</v>
      </c>
      <c r="AG276" s="264">
        <v>-1436431.7195761367</v>
      </c>
      <c r="AH276" s="264">
        <v>-1438207.714008214</v>
      </c>
      <c r="AI276" s="264">
        <v>-1437942.8258499205</v>
      </c>
      <c r="AJ276" s="264">
        <v>-1434212.7617103758</v>
      </c>
      <c r="AK276" s="264">
        <v>-1419470.580427587</v>
      </c>
    </row>
    <row r="277" spans="2:37" ht="12" customHeight="1">
      <c r="B277" s="271"/>
      <c r="C277" s="252" t="s">
        <v>152</v>
      </c>
      <c r="M277" s="281">
        <v>4.7665163882961985E-2</v>
      </c>
      <c r="O277" s="264">
        <v>-117559233.66704254</v>
      </c>
      <c r="R277" s="264">
        <v>108235.51556776941</v>
      </c>
      <c r="S277" s="264">
        <v>45870.471887769403</v>
      </c>
      <c r="T277" s="264">
        <v>-6432947.5354828378</v>
      </c>
      <c r="U277" s="264">
        <v>-6461732.3469393803</v>
      </c>
      <c r="V277" s="264">
        <v>-6489884.1413143855</v>
      </c>
      <c r="W277" s="264">
        <v>-6517613.2483647</v>
      </c>
      <c r="X277" s="264">
        <v>-6544859.2841867963</v>
      </c>
      <c r="Y277" s="264">
        <v>-6451775.3573059812</v>
      </c>
      <c r="Z277" s="264">
        <v>-6476863.188283762</v>
      </c>
      <c r="AA277" s="264">
        <v>-6501182.4968530163</v>
      </c>
      <c r="AB277" s="264">
        <v>-6524579.578532042</v>
      </c>
      <c r="AC277" s="264">
        <v>-6546849.4940118864</v>
      </c>
      <c r="AD277" s="264">
        <v>-6567355.4458400356</v>
      </c>
      <c r="AE277" s="264">
        <v>-6586404.8864650987</v>
      </c>
      <c r="AF277" s="264">
        <v>-6603038.9709490798</v>
      </c>
      <c r="AG277" s="264">
        <v>-6616291.5568355378</v>
      </c>
      <c r="AH277" s="264">
        <v>-6624471.8948257128</v>
      </c>
      <c r="AI277" s="264">
        <v>-6623251.8039147854</v>
      </c>
      <c r="AJ277" s="264">
        <v>-6606070.9024235485</v>
      </c>
      <c r="AK277" s="264">
        <v>-6538167.5219694907</v>
      </c>
    </row>
    <row r="278" spans="2:37" ht="12" customHeight="1">
      <c r="B278" s="271"/>
      <c r="C278" s="252" t="s">
        <v>153</v>
      </c>
      <c r="M278" s="281">
        <v>4.9999999999999996E-2</v>
      </c>
      <c r="O278" s="264">
        <v>-123317769.29971316</v>
      </c>
      <c r="R278" s="264">
        <v>0</v>
      </c>
      <c r="S278" s="264">
        <v>0</v>
      </c>
      <c r="T278" s="264">
        <v>-6668189.2120421762</v>
      </c>
      <c r="U278" s="264">
        <v>-6706209.3403171636</v>
      </c>
      <c r="V278" s="264">
        <v>-6743981.7472099857</v>
      </c>
      <c r="W278" s="264">
        <v>-6781473.4032030152</v>
      </c>
      <c r="X278" s="264">
        <v>-6818644.2010248527</v>
      </c>
      <c r="Y278" s="264">
        <v>-6709778.8245701715</v>
      </c>
      <c r="Z278" s="264">
        <v>-6744990.4990515606</v>
      </c>
      <c r="AA278" s="264">
        <v>-6779691.7173515111</v>
      </c>
      <c r="AB278" s="264">
        <v>-6813780.3882337399</v>
      </c>
      <c r="AC278" s="264">
        <v>-6847120.3900498496</v>
      </c>
      <c r="AD278" s="264">
        <v>-6879288.758950837</v>
      </c>
      <c r="AE278" s="264">
        <v>-6910489.7062923461</v>
      </c>
      <c r="AF278" s="264">
        <v>-6940086.3627779074</v>
      </c>
      <c r="AG278" s="264">
        <v>-6967437.0120651349</v>
      </c>
      <c r="AH278" s="264">
        <v>-6991418.6505548628</v>
      </c>
      <c r="AI278" s="264">
        <v>-7009156.4801621139</v>
      </c>
      <c r="AJ278" s="264">
        <v>-7016293.064664349</v>
      </c>
      <c r="AK278" s="264">
        <v>-6989739.5411915965</v>
      </c>
    </row>
    <row r="279" spans="2:37" ht="12" customHeight="1">
      <c r="B279" s="271"/>
    </row>
    <row r="280" spans="2:37" ht="12" customHeight="1">
      <c r="B280" s="271" t="s">
        <v>3</v>
      </c>
      <c r="C280" s="252" t="s">
        <v>279</v>
      </c>
      <c r="J280" s="276"/>
      <c r="O280" s="264">
        <v>0</v>
      </c>
      <c r="R280" s="264">
        <v>0</v>
      </c>
      <c r="S280" s="264">
        <v>0</v>
      </c>
      <c r="T280" s="264">
        <v>0</v>
      </c>
      <c r="U280" s="264">
        <v>0</v>
      </c>
      <c r="V280" s="264">
        <v>0</v>
      </c>
      <c r="W280" s="264">
        <v>0</v>
      </c>
      <c r="X280" s="264">
        <v>0</v>
      </c>
      <c r="Y280" s="264">
        <v>0</v>
      </c>
      <c r="Z280" s="264">
        <v>0</v>
      </c>
      <c r="AA280" s="264">
        <v>0</v>
      </c>
      <c r="AB280" s="264">
        <v>0</v>
      </c>
      <c r="AC280" s="264">
        <v>0</v>
      </c>
      <c r="AD280" s="264">
        <v>0</v>
      </c>
      <c r="AE280" s="264">
        <v>0</v>
      </c>
      <c r="AF280" s="264">
        <v>0</v>
      </c>
      <c r="AG280" s="264">
        <v>0</v>
      </c>
      <c r="AH280" s="264">
        <v>0</v>
      </c>
      <c r="AI280" s="264">
        <v>0</v>
      </c>
      <c r="AJ280" s="264">
        <v>0</v>
      </c>
      <c r="AK280" s="264">
        <v>0</v>
      </c>
    </row>
    <row r="281" spans="2:37" ht="12" customHeight="1">
      <c r="B281" s="271"/>
      <c r="C281" s="252" t="s">
        <v>280</v>
      </c>
      <c r="J281" s="276"/>
      <c r="O281" s="264">
        <v>0</v>
      </c>
      <c r="R281" s="264">
        <v>0</v>
      </c>
      <c r="S281" s="264">
        <v>0</v>
      </c>
      <c r="T281" s="264">
        <v>0</v>
      </c>
      <c r="U281" s="264">
        <v>0</v>
      </c>
      <c r="V281" s="264">
        <v>0</v>
      </c>
      <c r="W281" s="264">
        <v>0</v>
      </c>
      <c r="X281" s="264">
        <v>0</v>
      </c>
      <c r="Y281" s="264">
        <v>0</v>
      </c>
      <c r="Z281" s="264">
        <v>0</v>
      </c>
      <c r="AA281" s="264">
        <v>0</v>
      </c>
      <c r="AB281" s="264">
        <v>0</v>
      </c>
      <c r="AC281" s="264">
        <v>0</v>
      </c>
      <c r="AD281" s="264">
        <v>0</v>
      </c>
      <c r="AE281" s="264">
        <v>0</v>
      </c>
      <c r="AF281" s="264">
        <v>0</v>
      </c>
      <c r="AG281" s="264">
        <v>0</v>
      </c>
      <c r="AH281" s="264">
        <v>0</v>
      </c>
      <c r="AI281" s="264">
        <v>0</v>
      </c>
      <c r="AJ281" s="264">
        <v>0</v>
      </c>
      <c r="AK281" s="264">
        <v>0</v>
      </c>
    </row>
    <row r="282" spans="2:37" ht="12" customHeight="1">
      <c r="B282" s="271"/>
    </row>
    <row r="283" spans="2:37" s="246" customFormat="1" ht="12" customHeight="1">
      <c r="B283" s="269" t="s">
        <v>1</v>
      </c>
      <c r="C283" s="246" t="s">
        <v>281</v>
      </c>
      <c r="O283" s="270">
        <v>2199955654.6655841</v>
      </c>
      <c r="R283" s="270">
        <v>131734.01565814042</v>
      </c>
      <c r="S283" s="270">
        <v>55829.192758140394</v>
      </c>
      <c r="T283" s="270">
        <v>118866020.72574657</v>
      </c>
      <c r="U283" s="270">
        <v>119553369.01744857</v>
      </c>
      <c r="V283" s="270">
        <v>120236781.05131103</v>
      </c>
      <c r="W283" s="270">
        <v>120915373.27304499</v>
      </c>
      <c r="X283" s="270">
        <v>121588457.13806064</v>
      </c>
      <c r="Y283" s="270">
        <v>119633307.92274372</v>
      </c>
      <c r="Z283" s="270">
        <v>120271795.20676586</v>
      </c>
      <c r="AA283" s="270">
        <v>120901519.19600892</v>
      </c>
      <c r="AB283" s="270">
        <v>121520727.23151718</v>
      </c>
      <c r="AC283" s="270">
        <v>122127082.43468267</v>
      </c>
      <c r="AD283" s="270">
        <v>122713323.54190533</v>
      </c>
      <c r="AE283" s="270">
        <v>123282956.36694902</v>
      </c>
      <c r="AF283" s="270">
        <v>123825047.40840141</v>
      </c>
      <c r="AG283" s="270">
        <v>124328579.95282589</v>
      </c>
      <c r="AH283" s="270">
        <v>124774274.75170846</v>
      </c>
      <c r="AI283" s="270">
        <v>125112778.49331546</v>
      </c>
      <c r="AJ283" s="270">
        <v>125269284.56448871</v>
      </c>
      <c r="AK283" s="270">
        <v>124847413.18024324</v>
      </c>
    </row>
    <row r="284" spans="2:37" ht="12" customHeight="1">
      <c r="B284" s="271"/>
    </row>
    <row r="285" spans="2:37" ht="12" customHeight="1">
      <c r="B285" s="271" t="s">
        <v>3</v>
      </c>
      <c r="C285" s="252" t="s">
        <v>282</v>
      </c>
      <c r="O285" s="264">
        <v>-1813585219.7792389</v>
      </c>
      <c r="R285" s="264">
        <v>-1424151.520628545</v>
      </c>
      <c r="S285" s="264">
        <v>-603558.8406285448</v>
      </c>
      <c r="T285" s="264">
        <v>-96169097.680832207</v>
      </c>
      <c r="U285" s="264">
        <v>-96928605.760674164</v>
      </c>
      <c r="V285" s="264">
        <v>-97691488.58499831</v>
      </c>
      <c r="W285" s="264">
        <v>-98454318.066651478</v>
      </c>
      <c r="X285" s="264">
        <v>-99217086.585252121</v>
      </c>
      <c r="Y285" s="264">
        <v>-97332732.97177057</v>
      </c>
      <c r="Z285" s="264">
        <v>-98074303.654512018</v>
      </c>
      <c r="AA285" s="264">
        <v>-98815777.350579008</v>
      </c>
      <c r="AB285" s="264">
        <v>-99557134.662636667</v>
      </c>
      <c r="AC285" s="264">
        <v>-100298349.7275717</v>
      </c>
      <c r="AD285" s="264">
        <v>-101039342.18225294</v>
      </c>
      <c r="AE285" s="264">
        <v>-101780150.82683781</v>
      </c>
      <c r="AF285" s="264">
        <v>-102520654.65616007</v>
      </c>
      <c r="AG285" s="264">
        <v>-103260731.74411467</v>
      </c>
      <c r="AH285" s="264">
        <v>-104000168.7200177</v>
      </c>
      <c r="AI285" s="264">
        <v>-104738419.37223308</v>
      </c>
      <c r="AJ285" s="264">
        <v>-105474655.78787854</v>
      </c>
      <c r="AK285" s="264">
        <v>-106204491.08300872</v>
      </c>
    </row>
    <row r="286" spans="2:37" ht="12" customHeight="1">
      <c r="B286" s="271"/>
      <c r="C286" s="252" t="s">
        <v>283</v>
      </c>
      <c r="O286" s="264">
        <v>-1788123711.4394915</v>
      </c>
      <c r="R286" s="264">
        <v>0</v>
      </c>
      <c r="S286" s="264">
        <v>0</v>
      </c>
      <c r="T286" s="264">
        <v>-94898719.918999448</v>
      </c>
      <c r="U286" s="264">
        <v>-95654425.986013904</v>
      </c>
      <c r="V286" s="264">
        <v>-96410132.05302842</v>
      </c>
      <c r="W286" s="264">
        <v>-97165838.120042905</v>
      </c>
      <c r="X286" s="264">
        <v>-97921544.187057406</v>
      </c>
      <c r="Y286" s="264">
        <v>-96057874.995102242</v>
      </c>
      <c r="Z286" s="264">
        <v>-96792755.459692225</v>
      </c>
      <c r="AA286" s="264">
        <v>-97527635.924282223</v>
      </c>
      <c r="AB286" s="264">
        <v>-98262516.388872251</v>
      </c>
      <c r="AC286" s="264">
        <v>-98997396.853462219</v>
      </c>
      <c r="AD286" s="264">
        <v>-99732277.318052277</v>
      </c>
      <c r="AE286" s="264">
        <v>-100467157.78264226</v>
      </c>
      <c r="AF286" s="264">
        <v>-101202038.24723227</v>
      </c>
      <c r="AG286" s="264">
        <v>-101936918.71182229</v>
      </c>
      <c r="AH286" s="264">
        <v>-102671799.17641228</v>
      </c>
      <c r="AI286" s="264">
        <v>-103406679.64100228</v>
      </c>
      <c r="AJ286" s="264">
        <v>-104141560.10559231</v>
      </c>
      <c r="AK286" s="264">
        <v>-104876440.57018232</v>
      </c>
    </row>
    <row r="287" spans="2:37" ht="12" customHeight="1">
      <c r="B287" s="271"/>
      <c r="C287" s="252" t="s">
        <v>284</v>
      </c>
      <c r="O287" s="264">
        <v>0</v>
      </c>
      <c r="R287" s="264">
        <v>0</v>
      </c>
      <c r="S287" s="264">
        <v>0</v>
      </c>
      <c r="T287" s="264">
        <v>0</v>
      </c>
      <c r="U287" s="264">
        <v>0</v>
      </c>
      <c r="V287" s="264">
        <v>0</v>
      </c>
      <c r="W287" s="264">
        <v>0</v>
      </c>
      <c r="X287" s="264">
        <v>0</v>
      </c>
      <c r="Y287" s="264">
        <v>0</v>
      </c>
      <c r="Z287" s="264">
        <v>0</v>
      </c>
      <c r="AA287" s="264">
        <v>0</v>
      </c>
      <c r="AB287" s="264">
        <v>0</v>
      </c>
      <c r="AC287" s="264">
        <v>0</v>
      </c>
      <c r="AD287" s="264">
        <v>0</v>
      </c>
      <c r="AE287" s="264">
        <v>0</v>
      </c>
      <c r="AF287" s="264">
        <v>0</v>
      </c>
      <c r="AG287" s="264">
        <v>0</v>
      </c>
      <c r="AH287" s="264">
        <v>0</v>
      </c>
      <c r="AI287" s="264">
        <v>0</v>
      </c>
      <c r="AJ287" s="264">
        <v>0</v>
      </c>
      <c r="AK287" s="264">
        <v>0</v>
      </c>
    </row>
    <row r="288" spans="2:37" ht="12" customHeight="1">
      <c r="B288" s="271"/>
      <c r="C288" s="252" t="s">
        <v>285</v>
      </c>
      <c r="O288" s="264">
        <v>-25461508.339747343</v>
      </c>
      <c r="R288" s="264">
        <v>-1424151.520628545</v>
      </c>
      <c r="S288" s="264">
        <v>-603558.8406285448</v>
      </c>
      <c r="T288" s="264">
        <v>-1270377.7618327625</v>
      </c>
      <c r="U288" s="264">
        <v>-1274179.7746602613</v>
      </c>
      <c r="V288" s="264">
        <v>-1281356.5319698974</v>
      </c>
      <c r="W288" s="264">
        <v>-1288479.9466085727</v>
      </c>
      <c r="X288" s="264">
        <v>-1295542.3981947219</v>
      </c>
      <c r="Y288" s="264">
        <v>-1274857.9766683325</v>
      </c>
      <c r="Z288" s="264">
        <v>-1281548.1948197964</v>
      </c>
      <c r="AA288" s="264">
        <v>-1288141.4262967871</v>
      </c>
      <c r="AB288" s="264">
        <v>-1294618.2737644105</v>
      </c>
      <c r="AC288" s="264">
        <v>-1300952.8741094714</v>
      </c>
      <c r="AD288" s="264">
        <v>-1307064.8642006591</v>
      </c>
      <c r="AE288" s="264">
        <v>-1312993.0441955458</v>
      </c>
      <c r="AF288" s="264">
        <v>-1318616.4089278022</v>
      </c>
      <c r="AG288" s="264">
        <v>-1323813.0322923758</v>
      </c>
      <c r="AH288" s="264">
        <v>-1328369.543605424</v>
      </c>
      <c r="AI288" s="264">
        <v>-1331739.7312308019</v>
      </c>
      <c r="AJ288" s="264">
        <v>-1333095.6822862262</v>
      </c>
      <c r="AK288" s="264">
        <v>-1328050.5128264031</v>
      </c>
    </row>
    <row r="289" spans="2:37" ht="12" customHeight="1">
      <c r="B289" s="271"/>
    </row>
    <row r="290" spans="2:37" s="246" customFormat="1" ht="12" customHeight="1">
      <c r="B290" s="269" t="s">
        <v>1</v>
      </c>
      <c r="C290" s="246" t="s">
        <v>286</v>
      </c>
      <c r="O290" s="270">
        <v>386370434.88634515</v>
      </c>
      <c r="R290" s="270">
        <v>-1292417.5049704046</v>
      </c>
      <c r="S290" s="270">
        <v>-547729.64787040441</v>
      </c>
      <c r="T290" s="270">
        <v>22696923.044914365</v>
      </c>
      <c r="U290" s="270">
        <v>22624763.256774411</v>
      </c>
      <c r="V290" s="270">
        <v>22545292.466312721</v>
      </c>
      <c r="W290" s="270">
        <v>22461055.20639351</v>
      </c>
      <c r="X290" s="270">
        <v>22371370.552808523</v>
      </c>
      <c r="Y290" s="270">
        <v>22300574.950973153</v>
      </c>
      <c r="Z290" s="270">
        <v>22197491.552253842</v>
      </c>
      <c r="AA290" s="270">
        <v>22085741.845429912</v>
      </c>
      <c r="AB290" s="270">
        <v>21963592.568880513</v>
      </c>
      <c r="AC290" s="270">
        <v>21828732.707110971</v>
      </c>
      <c r="AD290" s="270">
        <v>21673981.359652385</v>
      </c>
      <c r="AE290" s="270">
        <v>21502805.540111214</v>
      </c>
      <c r="AF290" s="270">
        <v>21304392.752241343</v>
      </c>
      <c r="AG290" s="270">
        <v>21067848.208711222</v>
      </c>
      <c r="AH290" s="270">
        <v>20774106.031690761</v>
      </c>
      <c r="AI290" s="270">
        <v>20374359.12108238</v>
      </c>
      <c r="AJ290" s="270">
        <v>19794628.776610166</v>
      </c>
      <c r="AK290" s="270">
        <v>18642922.097234517</v>
      </c>
    </row>
    <row r="291" spans="2:37" s="246" customFormat="1" ht="12" customHeight="1">
      <c r="B291" s="269"/>
      <c r="C291" s="246" t="s">
        <v>287</v>
      </c>
      <c r="O291" s="279">
        <v>0.17562646504575904</v>
      </c>
      <c r="R291" s="279">
        <v>-9.8108108108108105</v>
      </c>
      <c r="S291" s="279">
        <v>-9.8108108108108105</v>
      </c>
      <c r="T291" s="279">
        <v>0.1909454266773328</v>
      </c>
      <c r="U291" s="279">
        <v>0.1892440459245642</v>
      </c>
      <c r="V291" s="279">
        <v>0.18750745212225467</v>
      </c>
      <c r="W291" s="279">
        <v>0.18575847386810848</v>
      </c>
      <c r="X291" s="279">
        <v>0.18399255224865954</v>
      </c>
      <c r="Y291" s="279">
        <v>0.18640774327977558</v>
      </c>
      <c r="Z291" s="279">
        <v>0.18456107281090228</v>
      </c>
      <c r="AA291" s="279">
        <v>0.18267547002138071</v>
      </c>
      <c r="AB291" s="279">
        <v>0.18073947604869267</v>
      </c>
      <c r="AC291" s="279">
        <v>0.17873785463421393</v>
      </c>
      <c r="AD291" s="279">
        <v>0.17662288604098433</v>
      </c>
      <c r="AE291" s="279">
        <v>0.17441831518144799</v>
      </c>
      <c r="AF291" s="279">
        <v>0.17205236903301893</v>
      </c>
      <c r="AG291" s="279">
        <v>0.16945297868523082</v>
      </c>
      <c r="AH291" s="279">
        <v>0.16649350255114437</v>
      </c>
      <c r="AI291" s="279">
        <v>0.16284794699984179</v>
      </c>
      <c r="AJ291" s="279">
        <v>0.15801661872204498</v>
      </c>
      <c r="AK291" s="279">
        <v>0.14932565779572524</v>
      </c>
    </row>
    <row r="292" spans="2:37" ht="12" customHeight="1">
      <c r="B292" s="271"/>
    </row>
    <row r="293" spans="2:37" ht="12" customHeight="1">
      <c r="B293" s="271" t="s">
        <v>3</v>
      </c>
      <c r="C293" s="252" t="s">
        <v>288</v>
      </c>
      <c r="O293" s="264">
        <v>-157741049.08101147</v>
      </c>
      <c r="R293" s="264">
        <v>0</v>
      </c>
      <c r="S293" s="264">
        <v>0</v>
      </c>
      <c r="T293" s="264">
        <v>-6528859.1425958332</v>
      </c>
      <c r="U293" s="264">
        <v>-6667349.9670743328</v>
      </c>
      <c r="V293" s="264">
        <v>-6814496.468082739</v>
      </c>
      <c r="W293" s="264">
        <v>-6971452.7358250394</v>
      </c>
      <c r="X293" s="264">
        <v>-7139620.1655489318</v>
      </c>
      <c r="Y293" s="264">
        <v>-7325793.7114054319</v>
      </c>
      <c r="Z293" s="264">
        <v>-7521989.0460833069</v>
      </c>
      <c r="AA293" s="264">
        <v>-7736020.3202773519</v>
      </c>
      <c r="AB293" s="264">
        <v>-7971454.7218908016</v>
      </c>
      <c r="AC293" s="264">
        <v>-8233048.5014613019</v>
      </c>
      <c r="AD293" s="264">
        <v>-8535580.5134781152</v>
      </c>
      <c r="AE293" s="264">
        <v>-8871915.3729258999</v>
      </c>
      <c r="AF293" s="264">
        <v>-9264306.04228165</v>
      </c>
      <c r="AG293" s="264">
        <v>-9735174.8455085494</v>
      </c>
      <c r="AH293" s="264">
        <v>-10323760.849542174</v>
      </c>
      <c r="AI293" s="264">
        <v>-11130512.881587008</v>
      </c>
      <c r="AJ293" s="264">
        <v>-12307684.889654258</v>
      </c>
      <c r="AK293" s="264">
        <v>-14662028.905788757</v>
      </c>
    </row>
    <row r="294" spans="2:37" ht="12" customHeight="1">
      <c r="B294" s="271"/>
    </row>
    <row r="295" spans="2:37" s="246" customFormat="1" ht="12" customHeight="1">
      <c r="B295" s="269" t="s">
        <v>1</v>
      </c>
      <c r="C295" s="246" t="s">
        <v>289</v>
      </c>
      <c r="O295" s="270">
        <v>228629385.80533367</v>
      </c>
      <c r="R295" s="270">
        <v>-1292417.5049704046</v>
      </c>
      <c r="S295" s="270">
        <v>-547729.64787040441</v>
      </c>
      <c r="T295" s="270">
        <v>16168063.902318532</v>
      </c>
      <c r="U295" s="270">
        <v>15957413.289700078</v>
      </c>
      <c r="V295" s="270">
        <v>15730795.998229982</v>
      </c>
      <c r="W295" s="270">
        <v>15489602.470568471</v>
      </c>
      <c r="X295" s="270">
        <v>15231750.387259591</v>
      </c>
      <c r="Y295" s="270">
        <v>14974781.239567721</v>
      </c>
      <c r="Z295" s="270">
        <v>14675502.506170535</v>
      </c>
      <c r="AA295" s="270">
        <v>14349721.52515256</v>
      </c>
      <c r="AB295" s="270">
        <v>13992137.846989712</v>
      </c>
      <c r="AC295" s="270">
        <v>13595684.20564967</v>
      </c>
      <c r="AD295" s="270">
        <v>13138400.84617427</v>
      </c>
      <c r="AE295" s="270">
        <v>12630890.167185314</v>
      </c>
      <c r="AF295" s="270">
        <v>12040086.709959693</v>
      </c>
      <c r="AG295" s="270">
        <v>11332673.363202672</v>
      </c>
      <c r="AH295" s="270">
        <v>10450345.182148587</v>
      </c>
      <c r="AI295" s="270">
        <v>9243846.2394953724</v>
      </c>
      <c r="AJ295" s="270">
        <v>7486943.8869559076</v>
      </c>
      <c r="AK295" s="270">
        <v>3980893.1914457604</v>
      </c>
    </row>
    <row r="296" spans="2:37" s="246" customFormat="1" ht="12" customHeight="1">
      <c r="B296" s="269" t="s">
        <v>10</v>
      </c>
      <c r="C296" s="246" t="s">
        <v>290</v>
      </c>
      <c r="O296" s="279">
        <v>0.10392454289724658</v>
      </c>
      <c r="R296" s="279">
        <v>-9.8108108108108105</v>
      </c>
      <c r="S296" s="279">
        <v>-9.8108108108108105</v>
      </c>
      <c r="T296" s="279">
        <v>0.13601922402721187</v>
      </c>
      <c r="U296" s="279">
        <v>0.13347522885257315</v>
      </c>
      <c r="V296" s="279">
        <v>0.13083181253427656</v>
      </c>
      <c r="W296" s="279">
        <v>0.12810283797074035</v>
      </c>
      <c r="X296" s="279">
        <v>0.12527299667898836</v>
      </c>
      <c r="Y296" s="279">
        <v>0.12517234121151335</v>
      </c>
      <c r="Z296" s="279">
        <v>0.12201948495855634</v>
      </c>
      <c r="AA296" s="279">
        <v>0.1186893400560864</v>
      </c>
      <c r="AB296" s="279">
        <v>0.11514198578101301</v>
      </c>
      <c r="AC296" s="279">
        <v>0.11132407271680352</v>
      </c>
      <c r="AD296" s="279">
        <v>0.1070658056269468</v>
      </c>
      <c r="AE296" s="279">
        <v>0.10245447172429696</v>
      </c>
      <c r="AF296" s="279">
        <v>9.7234662630484761E-2</v>
      </c>
      <c r="AG296" s="279">
        <v>9.115099173096515E-2</v>
      </c>
      <c r="AH296" s="279">
        <v>8.3754004605067808E-2</v>
      </c>
      <c r="AI296" s="279">
        <v>7.3884109607471105E-2</v>
      </c>
      <c r="AJ296" s="279">
        <v>5.9766796888678836E-2</v>
      </c>
      <c r="AK296" s="279">
        <v>3.1886068682084046E-2</v>
      </c>
    </row>
    <row r="297" spans="2:37" ht="12" customHeight="1">
      <c r="B297" s="271"/>
    </row>
    <row r="298" spans="2:37" ht="12" customHeight="1">
      <c r="B298" s="280" t="s">
        <v>291</v>
      </c>
      <c r="C298" s="252" t="s">
        <v>292</v>
      </c>
      <c r="O298" s="264">
        <v>-34020000</v>
      </c>
      <c r="R298" s="264">
        <v>-4662000</v>
      </c>
      <c r="S298" s="264">
        <v>-6524000</v>
      </c>
      <c r="T298" s="264">
        <v>-5708500</v>
      </c>
      <c r="U298" s="264">
        <v>-4893000</v>
      </c>
      <c r="V298" s="264">
        <v>-4077500</v>
      </c>
      <c r="W298" s="264">
        <v>-3262000</v>
      </c>
      <c r="X298" s="264">
        <v>-2446500</v>
      </c>
      <c r="Y298" s="264">
        <v>-1631000</v>
      </c>
      <c r="Z298" s="264">
        <v>-815500</v>
      </c>
      <c r="AA298" s="264">
        <v>0</v>
      </c>
      <c r="AB298" s="264">
        <v>0</v>
      </c>
      <c r="AC298" s="264">
        <v>0</v>
      </c>
      <c r="AD298" s="264">
        <v>0</v>
      </c>
      <c r="AE298" s="264">
        <v>0</v>
      </c>
      <c r="AF298" s="264">
        <v>0</v>
      </c>
      <c r="AG298" s="264">
        <v>0</v>
      </c>
      <c r="AH298" s="264">
        <v>0</v>
      </c>
      <c r="AI298" s="264">
        <v>0</v>
      </c>
      <c r="AJ298" s="264">
        <v>0</v>
      </c>
      <c r="AK298" s="264">
        <v>0</v>
      </c>
    </row>
    <row r="299" spans="2:37" ht="12" customHeight="1">
      <c r="B299" s="271"/>
    </row>
    <row r="300" spans="2:37" s="246" customFormat="1" ht="12" customHeight="1">
      <c r="B300" s="269" t="s">
        <v>1</v>
      </c>
      <c r="C300" s="246" t="s">
        <v>293</v>
      </c>
      <c r="O300" s="270">
        <v>194609385.80533367</v>
      </c>
      <c r="R300" s="270">
        <v>-5954417.5049704043</v>
      </c>
      <c r="S300" s="270">
        <v>-7071729.6478704046</v>
      </c>
      <c r="T300" s="270">
        <v>10459563.902318532</v>
      </c>
      <c r="U300" s="270">
        <v>11064413.289700078</v>
      </c>
      <c r="V300" s="270">
        <v>11653295.998229982</v>
      </c>
      <c r="W300" s="270">
        <v>12227602.470568471</v>
      </c>
      <c r="X300" s="270">
        <v>12785250.387259591</v>
      </c>
      <c r="Y300" s="270">
        <v>13343781.239567721</v>
      </c>
      <c r="Z300" s="270">
        <v>13860002.506170535</v>
      </c>
      <c r="AA300" s="270">
        <v>14349721.52515256</v>
      </c>
      <c r="AB300" s="270">
        <v>13992137.846989712</v>
      </c>
      <c r="AC300" s="270">
        <v>13595684.20564967</v>
      </c>
      <c r="AD300" s="270">
        <v>13138400.84617427</v>
      </c>
      <c r="AE300" s="270">
        <v>12630890.167185314</v>
      </c>
      <c r="AF300" s="270">
        <v>12040086.709959693</v>
      </c>
      <c r="AG300" s="270">
        <v>11332673.363202672</v>
      </c>
      <c r="AH300" s="270">
        <v>10450345.182148587</v>
      </c>
      <c r="AI300" s="270">
        <v>9243846.2394953724</v>
      </c>
      <c r="AJ300" s="270">
        <v>7486943.8869559076</v>
      </c>
      <c r="AK300" s="270">
        <v>3980893.1914457604</v>
      </c>
    </row>
    <row r="301" spans="2:37" s="246" customFormat="1" ht="12" customHeight="1">
      <c r="B301" s="269" t="s">
        <v>10</v>
      </c>
      <c r="C301" s="246" t="s">
        <v>294</v>
      </c>
      <c r="O301" s="279">
        <v>8.8460594827269964E-2</v>
      </c>
      <c r="R301" s="279">
        <v>-45.200303621067476</v>
      </c>
      <c r="S301" s="279">
        <v>-126.66723802556295</v>
      </c>
      <c r="T301" s="279">
        <v>8.7994565969793367E-2</v>
      </c>
      <c r="U301" s="279">
        <v>9.2547900411616577E-2</v>
      </c>
      <c r="V301" s="279">
        <v>9.6919560689644038E-2</v>
      </c>
      <c r="W301" s="279">
        <v>0.1011252923394341</v>
      </c>
      <c r="X301" s="279">
        <v>0.10515184326043599</v>
      </c>
      <c r="Y301" s="279">
        <v>0.11153901427004602</v>
      </c>
      <c r="Z301" s="279">
        <v>0.11523900913213313</v>
      </c>
      <c r="AA301" s="279">
        <v>0.1186893400560864</v>
      </c>
      <c r="AB301" s="279">
        <v>0.11514198578101301</v>
      </c>
      <c r="AC301" s="279">
        <v>0.11132407271680352</v>
      </c>
      <c r="AD301" s="279">
        <v>0.1070658056269468</v>
      </c>
      <c r="AE301" s="279">
        <v>0.10245447172429696</v>
      </c>
      <c r="AF301" s="279">
        <v>9.7234662630484761E-2</v>
      </c>
      <c r="AG301" s="279">
        <v>9.115099173096515E-2</v>
      </c>
      <c r="AH301" s="279">
        <v>8.3754004605067808E-2</v>
      </c>
      <c r="AI301" s="279">
        <v>7.3884109607471105E-2</v>
      </c>
      <c r="AJ301" s="279">
        <v>5.9766796888678836E-2</v>
      </c>
      <c r="AK301" s="279">
        <v>3.1886068682084046E-2</v>
      </c>
    </row>
    <row r="302" spans="2:37" ht="12" customHeight="1">
      <c r="B302" s="271"/>
    </row>
    <row r="303" spans="2:37" ht="12" customHeight="1">
      <c r="B303" s="280" t="s">
        <v>3</v>
      </c>
      <c r="C303" s="252" t="s">
        <v>295</v>
      </c>
      <c r="O303" s="264">
        <v>-67469805.889097542</v>
      </c>
      <c r="R303" s="264">
        <v>1429060.201192897</v>
      </c>
      <c r="S303" s="264">
        <v>1697215.1154888971</v>
      </c>
      <c r="T303" s="264">
        <v>-3556251.7267883006</v>
      </c>
      <c r="U303" s="264">
        <v>-3761900.5184980263</v>
      </c>
      <c r="V303" s="264">
        <v>-3962120.6393981939</v>
      </c>
      <c r="W303" s="264">
        <v>-4157384.8399932799</v>
      </c>
      <c r="X303" s="264">
        <v>-4346985.1316682659</v>
      </c>
      <c r="Y303" s="264">
        <v>-4536885.6214530198</v>
      </c>
      <c r="Z303" s="264">
        <v>-4712400.8520979872</v>
      </c>
      <c r="AA303" s="264">
        <v>-4878905.3185518757</v>
      </c>
      <c r="AB303" s="264">
        <v>-4757326.8679765025</v>
      </c>
      <c r="AC303" s="264">
        <v>-4622532.629920898</v>
      </c>
      <c r="AD303" s="264">
        <v>-4467056.287699257</v>
      </c>
      <c r="AE303" s="264">
        <v>-4294502.6568430122</v>
      </c>
      <c r="AF303" s="264">
        <v>-4093629.4813862955</v>
      </c>
      <c r="AG303" s="264">
        <v>-3853108.9434889033</v>
      </c>
      <c r="AH303" s="264">
        <v>-3553117.3619305193</v>
      </c>
      <c r="AI303" s="264">
        <v>-3142907.7214284264</v>
      </c>
      <c r="AJ303" s="264">
        <v>-2545560.9215650083</v>
      </c>
      <c r="AK303" s="264">
        <v>-1353503.6850915586</v>
      </c>
    </row>
    <row r="304" spans="2:37" ht="12" customHeight="1">
      <c r="B304" s="280"/>
      <c r="C304" s="252" t="s">
        <v>296</v>
      </c>
      <c r="O304" s="264">
        <v>-49954961.166617505</v>
      </c>
      <c r="R304" s="264">
        <v>893162.62574556062</v>
      </c>
      <c r="S304" s="264">
        <v>1060759.4471805606</v>
      </c>
      <c r="T304" s="264">
        <v>-2614890.9755796329</v>
      </c>
      <c r="U304" s="264">
        <v>-2766103.3224250195</v>
      </c>
      <c r="V304" s="264">
        <v>-2913323.9995574956</v>
      </c>
      <c r="W304" s="264">
        <v>-3056900.6176421177</v>
      </c>
      <c r="X304" s="264">
        <v>-3196312.5968149016</v>
      </c>
      <c r="Y304" s="264">
        <v>-3335945.3098919266</v>
      </c>
      <c r="Z304" s="264">
        <v>-3465000.6265426376</v>
      </c>
      <c r="AA304" s="264">
        <v>-3587430.3812881438</v>
      </c>
      <c r="AB304" s="264">
        <v>-3498034.4617474284</v>
      </c>
      <c r="AC304" s="264">
        <v>-3398921.051412425</v>
      </c>
      <c r="AD304" s="264">
        <v>-3284600.2115435712</v>
      </c>
      <c r="AE304" s="264">
        <v>-3157722.5417963322</v>
      </c>
      <c r="AF304" s="264">
        <v>-3010021.6774899233</v>
      </c>
      <c r="AG304" s="264">
        <v>-2833168.3408006644</v>
      </c>
      <c r="AH304" s="264">
        <v>-2612586.2955371467</v>
      </c>
      <c r="AI304" s="264">
        <v>-2310961.5598738431</v>
      </c>
      <c r="AJ304" s="264">
        <v>-1871735.9717389769</v>
      </c>
      <c r="AK304" s="264">
        <v>-995223.29786144011</v>
      </c>
    </row>
    <row r="305" spans="2:37" ht="12" customHeight="1">
      <c r="B305" s="280"/>
      <c r="C305" s="252" t="s">
        <v>297</v>
      </c>
      <c r="O305" s="264">
        <v>-17514844.722480033</v>
      </c>
      <c r="R305" s="264">
        <v>535897.57544733642</v>
      </c>
      <c r="S305" s="264">
        <v>636455.6683083364</v>
      </c>
      <c r="T305" s="264">
        <v>-941360.75120866776</v>
      </c>
      <c r="U305" s="264">
        <v>-995797.19607300695</v>
      </c>
      <c r="V305" s="264">
        <v>-1048796.6398406983</v>
      </c>
      <c r="W305" s="264">
        <v>-1100484.2223511622</v>
      </c>
      <c r="X305" s="264">
        <v>-1150672.5348533646</v>
      </c>
      <c r="Y305" s="264">
        <v>-1200940.3115610934</v>
      </c>
      <c r="Z305" s="264">
        <v>-1247400.2255553494</v>
      </c>
      <c r="AA305" s="264">
        <v>-1291474.9372637316</v>
      </c>
      <c r="AB305" s="264">
        <v>-1259292.4062290741</v>
      </c>
      <c r="AC305" s="264">
        <v>-1223611.578508473</v>
      </c>
      <c r="AD305" s="264">
        <v>-1182456.0761556856</v>
      </c>
      <c r="AE305" s="264">
        <v>-1136780.1150466795</v>
      </c>
      <c r="AF305" s="264">
        <v>-1083607.8038963724</v>
      </c>
      <c r="AG305" s="264">
        <v>-1019940.6026882392</v>
      </c>
      <c r="AH305" s="264">
        <v>-940531.06639337284</v>
      </c>
      <c r="AI305" s="264">
        <v>-831946.16155458346</v>
      </c>
      <c r="AJ305" s="264">
        <v>-673824.94982603169</v>
      </c>
      <c r="AK305" s="264">
        <v>-358280.38723011845</v>
      </c>
    </row>
    <row r="306" spans="2:37" ht="12" customHeight="1">
      <c r="B306" s="271"/>
    </row>
    <row r="307" spans="2:37" s="246" customFormat="1" ht="12" customHeight="1">
      <c r="B307" s="269" t="s">
        <v>1</v>
      </c>
      <c r="C307" s="246" t="s">
        <v>298</v>
      </c>
      <c r="O307" s="270">
        <v>127139579.91623613</v>
      </c>
      <c r="R307" s="270">
        <v>-4525357.3037775075</v>
      </c>
      <c r="S307" s="270">
        <v>-5374514.5323815076</v>
      </c>
      <c r="T307" s="270">
        <v>6903312.1755302306</v>
      </c>
      <c r="U307" s="270">
        <v>7302512.771202052</v>
      </c>
      <c r="V307" s="270">
        <v>7691175.3588317884</v>
      </c>
      <c r="W307" s="270">
        <v>8070217.6305751912</v>
      </c>
      <c r="X307" s="270">
        <v>8438265.2555913255</v>
      </c>
      <c r="Y307" s="270">
        <v>8806895.6181147024</v>
      </c>
      <c r="Z307" s="270">
        <v>9147601.6540725492</v>
      </c>
      <c r="AA307" s="270">
        <v>9470816.2066006847</v>
      </c>
      <c r="AB307" s="270">
        <v>9234810.9790132083</v>
      </c>
      <c r="AC307" s="270">
        <v>8973151.5757287722</v>
      </c>
      <c r="AD307" s="270">
        <v>8671344.5584750138</v>
      </c>
      <c r="AE307" s="270">
        <v>8336387.5103423018</v>
      </c>
      <c r="AF307" s="270">
        <v>7946457.2285733977</v>
      </c>
      <c r="AG307" s="270">
        <v>7479564.4197137691</v>
      </c>
      <c r="AH307" s="270">
        <v>6897227.8202180676</v>
      </c>
      <c r="AI307" s="270">
        <v>6100938.5180669464</v>
      </c>
      <c r="AJ307" s="270">
        <v>4941382.9653908992</v>
      </c>
      <c r="AK307" s="270">
        <v>2627389.5063542016</v>
      </c>
    </row>
    <row r="308" spans="2:37" s="246" customFormat="1" ht="12" customHeight="1">
      <c r="B308" s="269" t="s">
        <v>10</v>
      </c>
      <c r="C308" s="246" t="s">
        <v>299</v>
      </c>
      <c r="O308" s="279">
        <v>5.7791883053007566E-2</v>
      </c>
      <c r="R308" s="279">
        <v>-34.352230752011288</v>
      </c>
      <c r="S308" s="279">
        <v>-96.267100899427845</v>
      </c>
      <c r="T308" s="279">
        <v>5.8076413540063619E-2</v>
      </c>
      <c r="U308" s="279">
        <v>6.1081614271666945E-2</v>
      </c>
      <c r="V308" s="279">
        <v>6.3966910055165069E-2</v>
      </c>
      <c r="W308" s="279">
        <v>6.6742692944026502E-2</v>
      </c>
      <c r="X308" s="279">
        <v>6.9400216551887703E-2</v>
      </c>
      <c r="Y308" s="279">
        <v>7.3615749418230431E-2</v>
      </c>
      <c r="Z308" s="279">
        <v>7.6057746027207829E-2</v>
      </c>
      <c r="AA308" s="279">
        <v>7.8334964437016985E-2</v>
      </c>
      <c r="AB308" s="279">
        <v>7.5993710615468571E-2</v>
      </c>
      <c r="AC308" s="279">
        <v>7.3473887993090237E-2</v>
      </c>
      <c r="AD308" s="279">
        <v>7.0663431713784849E-2</v>
      </c>
      <c r="AE308" s="279">
        <v>6.7619951338035944E-2</v>
      </c>
      <c r="AF308" s="279">
        <v>6.4174877336119943E-2</v>
      </c>
      <c r="AG308" s="279">
        <v>6.0159654542437047E-2</v>
      </c>
      <c r="AH308" s="279">
        <v>5.5277643039344758E-2</v>
      </c>
      <c r="AI308" s="279">
        <v>4.8763512340930931E-2</v>
      </c>
      <c r="AJ308" s="279">
        <v>3.9446085946528035E-2</v>
      </c>
      <c r="AK308" s="279">
        <v>2.1044805330175467E-2</v>
      </c>
    </row>
    <row r="309" spans="2:37" ht="12" customHeight="1">
      <c r="B309" s="271"/>
      <c r="O309" s="281"/>
    </row>
    <row r="310" spans="2:37" ht="12" customHeight="1">
      <c r="B310" s="273" t="s">
        <v>300</v>
      </c>
    </row>
    <row r="311" spans="2:37" ht="12" customHeight="1">
      <c r="B311" s="271"/>
    </row>
    <row r="312" spans="2:37" ht="12" customHeight="1">
      <c r="B312" s="282" t="s">
        <v>1</v>
      </c>
      <c r="C312" s="256" t="s">
        <v>301</v>
      </c>
      <c r="D312" s="283"/>
      <c r="E312" s="283"/>
      <c r="F312" s="283"/>
      <c r="G312" s="283"/>
      <c r="H312" s="283"/>
      <c r="I312" s="283"/>
      <c r="J312" s="283"/>
      <c r="K312" s="283"/>
      <c r="L312" s="283"/>
      <c r="M312" s="283"/>
      <c r="N312" s="283"/>
      <c r="O312" s="258">
        <v>315774353.68056571</v>
      </c>
      <c r="P312" s="284"/>
      <c r="Q312" s="284"/>
      <c r="R312" s="258">
        <v>-1292417.5049704046</v>
      </c>
      <c r="S312" s="258">
        <v>-547729.64787040441</v>
      </c>
      <c r="T312" s="258">
        <v>19140671.318126064</v>
      </c>
      <c r="U312" s="258">
        <v>18862862.738276385</v>
      </c>
      <c r="V312" s="258">
        <v>18583171.826914527</v>
      </c>
      <c r="W312" s="258">
        <v>18303670.366400231</v>
      </c>
      <c r="X312" s="258">
        <v>18024385.421140257</v>
      </c>
      <c r="Y312" s="258">
        <v>17763689.329520132</v>
      </c>
      <c r="Z312" s="258">
        <v>17485090.700155854</v>
      </c>
      <c r="AA312" s="258">
        <v>17206836.526878037</v>
      </c>
      <c r="AB312" s="258">
        <v>17206265.700904012</v>
      </c>
      <c r="AC312" s="258">
        <v>17206200.077190071</v>
      </c>
      <c r="AD312" s="258">
        <v>17206925.071953129</v>
      </c>
      <c r="AE312" s="258">
        <v>17208302.8832682</v>
      </c>
      <c r="AF312" s="258">
        <v>17210763.270855047</v>
      </c>
      <c r="AG312" s="258">
        <v>17214739.265222318</v>
      </c>
      <c r="AH312" s="258">
        <v>17220988.669760242</v>
      </c>
      <c r="AI312" s="258">
        <v>17231451.399653953</v>
      </c>
      <c r="AJ312" s="258">
        <v>17249067.855045158</v>
      </c>
      <c r="AK312" s="258">
        <v>17289418.412142958</v>
      </c>
    </row>
    <row r="313" spans="2:37" ht="12" customHeight="1">
      <c r="B313" s="271" t="s">
        <v>1</v>
      </c>
      <c r="C313" s="252" t="s">
        <v>286</v>
      </c>
      <c r="O313" s="264">
        <v>386370434.88634503</v>
      </c>
      <c r="P313" s="264"/>
      <c r="Q313" s="264"/>
      <c r="R313" s="285">
        <v>-1292417.5049704046</v>
      </c>
      <c r="S313" s="285">
        <v>-547729.64787040441</v>
      </c>
      <c r="T313" s="285">
        <v>22696923.044914365</v>
      </c>
      <c r="U313" s="285">
        <v>22624763.256774411</v>
      </c>
      <c r="V313" s="285">
        <v>22545292.466312721</v>
      </c>
      <c r="W313" s="285">
        <v>22461055.20639351</v>
      </c>
      <c r="X313" s="285">
        <v>22371370.552808523</v>
      </c>
      <c r="Y313" s="285">
        <v>22300574.950973153</v>
      </c>
      <c r="Z313" s="285">
        <v>22197491.552253842</v>
      </c>
      <c r="AA313" s="285">
        <v>22085741.845429912</v>
      </c>
      <c r="AB313" s="285">
        <v>21963592.568880513</v>
      </c>
      <c r="AC313" s="285">
        <v>21828732.707110971</v>
      </c>
      <c r="AD313" s="285">
        <v>21673981.359652385</v>
      </c>
      <c r="AE313" s="285">
        <v>21502805.540111214</v>
      </c>
      <c r="AF313" s="285">
        <v>21304392.752241343</v>
      </c>
      <c r="AG313" s="285">
        <v>21067848.208711222</v>
      </c>
      <c r="AH313" s="285">
        <v>20774106.031690761</v>
      </c>
      <c r="AI313" s="285">
        <v>20374359.12108238</v>
      </c>
      <c r="AJ313" s="285">
        <v>19794628.776610166</v>
      </c>
      <c r="AK313" s="285">
        <v>18642922.097234517</v>
      </c>
    </row>
    <row r="314" spans="2:37" ht="12" customHeight="1">
      <c r="B314" s="280" t="s">
        <v>3</v>
      </c>
      <c r="C314" s="252" t="s">
        <v>295</v>
      </c>
      <c r="O314" s="264">
        <v>-70596081.205779329</v>
      </c>
      <c r="P314" s="264"/>
      <c r="Q314" s="264"/>
      <c r="R314" s="286">
        <v>0</v>
      </c>
      <c r="S314" s="286">
        <v>0</v>
      </c>
      <c r="T314" s="286">
        <v>-3556251.7267883006</v>
      </c>
      <c r="U314" s="286">
        <v>-3761900.5184980263</v>
      </c>
      <c r="V314" s="286">
        <v>-3962120.6393981939</v>
      </c>
      <c r="W314" s="286">
        <v>-4157384.8399932799</v>
      </c>
      <c r="X314" s="286">
        <v>-4346985.1316682659</v>
      </c>
      <c r="Y314" s="286">
        <v>-4536885.6214530198</v>
      </c>
      <c r="Z314" s="286">
        <v>-4712400.8520979872</v>
      </c>
      <c r="AA314" s="286">
        <v>-4878905.3185518757</v>
      </c>
      <c r="AB314" s="286">
        <v>-4757326.8679765025</v>
      </c>
      <c r="AC314" s="286">
        <v>-4622532.629920898</v>
      </c>
      <c r="AD314" s="286">
        <v>-4467056.287699257</v>
      </c>
      <c r="AE314" s="286">
        <v>-4294502.6568430122</v>
      </c>
      <c r="AF314" s="286">
        <v>-4093629.4813862955</v>
      </c>
      <c r="AG314" s="286">
        <v>-3853108.9434889033</v>
      </c>
      <c r="AH314" s="286">
        <v>-3553117.3619305193</v>
      </c>
      <c r="AI314" s="286">
        <v>-3142907.7214284264</v>
      </c>
      <c r="AJ314" s="286">
        <v>-2545560.9215650083</v>
      </c>
      <c r="AK314" s="286">
        <v>-1353503.6850915586</v>
      </c>
    </row>
    <row r="315" spans="2:37" ht="12" customHeight="1">
      <c r="B315" s="271"/>
      <c r="O315" s="264"/>
      <c r="P315" s="264"/>
      <c r="Q315" s="264"/>
      <c r="R315" s="264"/>
      <c r="S315" s="264"/>
      <c r="T315" s="264"/>
      <c r="U315" s="264"/>
      <c r="V315" s="264"/>
      <c r="W315" s="264"/>
      <c r="X315" s="264"/>
      <c r="Y315" s="264"/>
      <c r="Z315" s="264"/>
      <c r="AA315" s="264"/>
      <c r="AB315" s="264"/>
      <c r="AC315" s="264"/>
      <c r="AD315" s="264"/>
      <c r="AE315" s="264"/>
      <c r="AF315" s="264"/>
      <c r="AG315" s="264"/>
      <c r="AH315" s="264"/>
      <c r="AI315" s="264"/>
      <c r="AJ315" s="264"/>
      <c r="AK315" s="264"/>
    </row>
    <row r="316" spans="2:37" s="246" customFormat="1" ht="12" customHeight="1">
      <c r="B316" s="282" t="s">
        <v>3</v>
      </c>
      <c r="C316" s="256" t="s">
        <v>237</v>
      </c>
      <c r="D316" s="256"/>
      <c r="E316" s="256"/>
      <c r="F316" s="256"/>
      <c r="G316" s="256"/>
      <c r="H316" s="256"/>
      <c r="I316" s="256"/>
      <c r="J316" s="256"/>
      <c r="K316" s="256"/>
      <c r="L316" s="256"/>
      <c r="M316" s="256"/>
      <c r="N316" s="256"/>
      <c r="O316" s="258">
        <v>-160095393.09714597</v>
      </c>
      <c r="P316" s="258"/>
      <c r="Q316" s="258"/>
      <c r="R316" s="258">
        <v>-58726776.243362501</v>
      </c>
      <c r="S316" s="258">
        <v>-58792688.323362485</v>
      </c>
      <c r="T316" s="258">
        <v>-2354344.0161344996</v>
      </c>
      <c r="U316" s="258">
        <v>-2354344.0161344996</v>
      </c>
      <c r="V316" s="258">
        <v>-2354344.0161344996</v>
      </c>
      <c r="W316" s="258">
        <v>-2354344.0161344996</v>
      </c>
      <c r="X316" s="258">
        <v>-2420256.0961344996</v>
      </c>
      <c r="Y316" s="258">
        <v>-2354344.0161344996</v>
      </c>
      <c r="Z316" s="258">
        <v>-2354344.0161344996</v>
      </c>
      <c r="AA316" s="258">
        <v>-2354344.0161344996</v>
      </c>
      <c r="AB316" s="258">
        <v>-2354344.0161344996</v>
      </c>
      <c r="AC316" s="258">
        <v>-2420256.0961344996</v>
      </c>
      <c r="AD316" s="258">
        <v>-2354344.0161344996</v>
      </c>
      <c r="AE316" s="258">
        <v>-2354344.0161344996</v>
      </c>
      <c r="AF316" s="258">
        <v>-2354344.0161344996</v>
      </c>
      <c r="AG316" s="258">
        <v>-2354344.0161344996</v>
      </c>
      <c r="AH316" s="258">
        <v>-2420256.0961344996</v>
      </c>
      <c r="AI316" s="258">
        <v>-2354344.0161344996</v>
      </c>
      <c r="AJ316" s="258">
        <v>-2354344.0161344996</v>
      </c>
      <c r="AK316" s="258">
        <v>-2354344.0161344996</v>
      </c>
    </row>
    <row r="317" spans="2:37" s="246" customFormat="1" ht="12" customHeight="1">
      <c r="C317" s="252" t="s">
        <v>216</v>
      </c>
      <c r="K317" s="263"/>
      <c r="O317" s="264">
        <v>-94941324.944599971</v>
      </c>
      <c r="R317" s="264">
        <v>-47399940.872299992</v>
      </c>
      <c r="S317" s="264">
        <v>-47435301.672299989</v>
      </c>
      <c r="T317" s="264">
        <v>0</v>
      </c>
      <c r="U317" s="264">
        <v>0</v>
      </c>
      <c r="V317" s="264">
        <v>0</v>
      </c>
      <c r="W317" s="264">
        <v>0</v>
      </c>
      <c r="X317" s="264">
        <v>-35360.800000000003</v>
      </c>
      <c r="Y317" s="264">
        <v>0</v>
      </c>
      <c r="Z317" s="264">
        <v>0</v>
      </c>
      <c r="AA317" s="264">
        <v>0</v>
      </c>
      <c r="AB317" s="264">
        <v>0</v>
      </c>
      <c r="AC317" s="264">
        <v>-35360.800000000003</v>
      </c>
      <c r="AD317" s="264">
        <v>0</v>
      </c>
      <c r="AE317" s="264">
        <v>0</v>
      </c>
      <c r="AF317" s="264">
        <v>0</v>
      </c>
      <c r="AG317" s="264">
        <v>0</v>
      </c>
      <c r="AH317" s="264">
        <v>-35360.800000000003</v>
      </c>
      <c r="AI317" s="264">
        <v>0</v>
      </c>
      <c r="AJ317" s="264">
        <v>0</v>
      </c>
      <c r="AK317" s="264">
        <v>0</v>
      </c>
    </row>
    <row r="318" spans="2:37" s="246" customFormat="1" ht="12" customHeight="1">
      <c r="C318" s="252" t="s">
        <v>210</v>
      </c>
      <c r="K318" s="263"/>
      <c r="O318" s="264">
        <v>-12893437.892124997</v>
      </c>
      <c r="R318" s="264">
        <v>-6385616.3860625001</v>
      </c>
      <c r="S318" s="264">
        <v>-6416167.6660625003</v>
      </c>
      <c r="T318" s="264">
        <v>0</v>
      </c>
      <c r="U318" s="264">
        <v>0</v>
      </c>
      <c r="V318" s="264">
        <v>0</v>
      </c>
      <c r="W318" s="264">
        <v>0</v>
      </c>
      <c r="X318" s="264">
        <v>-30551.279999999999</v>
      </c>
      <c r="Y318" s="264">
        <v>0</v>
      </c>
      <c r="Z318" s="264">
        <v>0</v>
      </c>
      <c r="AA318" s="264">
        <v>0</v>
      </c>
      <c r="AB318" s="264">
        <v>0</v>
      </c>
      <c r="AC318" s="264">
        <v>-30551.279999999999</v>
      </c>
      <c r="AD318" s="264">
        <v>0</v>
      </c>
      <c r="AE318" s="264">
        <v>0</v>
      </c>
      <c r="AF318" s="264">
        <v>0</v>
      </c>
      <c r="AG318" s="264">
        <v>0</v>
      </c>
      <c r="AH318" s="264">
        <v>-30551.279999999999</v>
      </c>
      <c r="AI318" s="264">
        <v>0</v>
      </c>
      <c r="AJ318" s="264">
        <v>0</v>
      </c>
      <c r="AK318" s="264">
        <v>0</v>
      </c>
    </row>
    <row r="319" spans="2:37" s="246" customFormat="1" ht="12" customHeight="1">
      <c r="C319" s="252" t="s">
        <v>211</v>
      </c>
      <c r="K319" s="263"/>
      <c r="O319" s="264">
        <v>-9673991.5399999991</v>
      </c>
      <c r="R319" s="264">
        <v>-4836995.7699999996</v>
      </c>
      <c r="S319" s="264">
        <v>-4836995.7699999996</v>
      </c>
      <c r="T319" s="264">
        <v>0</v>
      </c>
      <c r="U319" s="264">
        <v>0</v>
      </c>
      <c r="V319" s="264">
        <v>0</v>
      </c>
      <c r="W319" s="264">
        <v>0</v>
      </c>
      <c r="X319" s="264">
        <v>0</v>
      </c>
      <c r="Y319" s="264">
        <v>0</v>
      </c>
      <c r="Z319" s="264">
        <v>0</v>
      </c>
      <c r="AA319" s="264">
        <v>0</v>
      </c>
      <c r="AB319" s="264">
        <v>0</v>
      </c>
      <c r="AC319" s="264">
        <v>0</v>
      </c>
      <c r="AD319" s="264">
        <v>0</v>
      </c>
      <c r="AE319" s="264">
        <v>0</v>
      </c>
      <c r="AF319" s="264">
        <v>0</v>
      </c>
      <c r="AG319" s="264">
        <v>0</v>
      </c>
      <c r="AH319" s="264">
        <v>0</v>
      </c>
      <c r="AI319" s="264">
        <v>0</v>
      </c>
      <c r="AJ319" s="264">
        <v>0</v>
      </c>
      <c r="AK319" s="264">
        <v>0</v>
      </c>
    </row>
    <row r="320" spans="2:37" s="246" customFormat="1" ht="12" customHeight="1">
      <c r="C320" s="252" t="s">
        <v>217</v>
      </c>
      <c r="K320" s="263"/>
      <c r="O320" s="264">
        <v>-208446.43</v>
      </c>
      <c r="R320" s="264">
        <v>-104223.215</v>
      </c>
      <c r="S320" s="264">
        <v>-104223.215</v>
      </c>
      <c r="T320" s="264">
        <v>0</v>
      </c>
      <c r="U320" s="264">
        <v>0</v>
      </c>
      <c r="V320" s="264">
        <v>0</v>
      </c>
      <c r="W320" s="264">
        <v>0</v>
      </c>
      <c r="X320" s="264">
        <v>0</v>
      </c>
      <c r="Y320" s="264">
        <v>0</v>
      </c>
      <c r="Z320" s="264">
        <v>0</v>
      </c>
      <c r="AA320" s="264">
        <v>0</v>
      </c>
      <c r="AB320" s="264">
        <v>0</v>
      </c>
      <c r="AC320" s="264">
        <v>0</v>
      </c>
      <c r="AD320" s="264">
        <v>0</v>
      </c>
      <c r="AE320" s="264">
        <v>0</v>
      </c>
      <c r="AF320" s="264">
        <v>0</v>
      </c>
      <c r="AG320" s="264">
        <v>0</v>
      </c>
      <c r="AH320" s="264">
        <v>0</v>
      </c>
      <c r="AI320" s="264">
        <v>0</v>
      </c>
      <c r="AJ320" s="264">
        <v>0</v>
      </c>
      <c r="AK320" s="264">
        <v>0</v>
      </c>
    </row>
    <row r="321" spans="2:37" s="246" customFormat="1" ht="12" customHeight="1">
      <c r="C321" s="252" t="s">
        <v>245</v>
      </c>
      <c r="K321" s="263"/>
      <c r="O321" s="264">
        <v>-42378192.290421002</v>
      </c>
      <c r="R321" s="264">
        <v>0</v>
      </c>
      <c r="S321" s="264">
        <v>0</v>
      </c>
      <c r="T321" s="264">
        <v>-2354344.0161344996</v>
      </c>
      <c r="U321" s="264">
        <v>-2354344.0161344996</v>
      </c>
      <c r="V321" s="264">
        <v>-2354344.0161344996</v>
      </c>
      <c r="W321" s="264">
        <v>-2354344.0161344996</v>
      </c>
      <c r="X321" s="264">
        <v>-2354344.0161344996</v>
      </c>
      <c r="Y321" s="264">
        <v>-2354344.0161344996</v>
      </c>
      <c r="Z321" s="264">
        <v>-2354344.0161344996</v>
      </c>
      <c r="AA321" s="264">
        <v>-2354344.0161344996</v>
      </c>
      <c r="AB321" s="264">
        <v>-2354344.0161344996</v>
      </c>
      <c r="AC321" s="264">
        <v>-2354344.0161344996</v>
      </c>
      <c r="AD321" s="264">
        <v>-2354344.0161344996</v>
      </c>
      <c r="AE321" s="264">
        <v>-2354344.0161344996</v>
      </c>
      <c r="AF321" s="264">
        <v>-2354344.0161344996</v>
      </c>
      <c r="AG321" s="264">
        <v>-2354344.0161344996</v>
      </c>
      <c r="AH321" s="264">
        <v>-2354344.0161344996</v>
      </c>
      <c r="AI321" s="264">
        <v>-2354344.0161344996</v>
      </c>
      <c r="AJ321" s="264">
        <v>-2354344.0161344996</v>
      </c>
      <c r="AK321" s="264">
        <v>-2354344.0161344996</v>
      </c>
    </row>
    <row r="322" spans="2:37" ht="12" customHeight="1">
      <c r="B322" s="269" t="s">
        <v>1</v>
      </c>
      <c r="C322" s="246" t="s">
        <v>302</v>
      </c>
      <c r="O322" s="270">
        <v>155678960.58341974</v>
      </c>
      <c r="P322" s="264"/>
      <c r="Q322" s="264"/>
      <c r="R322" s="270">
        <v>-60019193.748332903</v>
      </c>
      <c r="S322" s="270">
        <v>-59340417.971232891</v>
      </c>
      <c r="T322" s="270">
        <v>16786327.301991563</v>
      </c>
      <c r="U322" s="270">
        <v>16508518.722141884</v>
      </c>
      <c r="V322" s="270">
        <v>16228827.810780026</v>
      </c>
      <c r="W322" s="270">
        <v>15949326.35026573</v>
      </c>
      <c r="X322" s="270">
        <v>15604129.325005759</v>
      </c>
      <c r="Y322" s="270">
        <v>15409345.313385632</v>
      </c>
      <c r="Z322" s="270">
        <v>15130746.684021354</v>
      </c>
      <c r="AA322" s="270">
        <v>14852492.510743536</v>
      </c>
      <c r="AB322" s="270">
        <v>14851921.684769511</v>
      </c>
      <c r="AC322" s="270">
        <v>14785943.981055573</v>
      </c>
      <c r="AD322" s="270">
        <v>14852581.055818629</v>
      </c>
      <c r="AE322" s="270">
        <v>14853958.867133699</v>
      </c>
      <c r="AF322" s="270">
        <v>14856419.254720546</v>
      </c>
      <c r="AG322" s="270">
        <v>14860395.249087818</v>
      </c>
      <c r="AH322" s="270">
        <v>14800732.573625743</v>
      </c>
      <c r="AI322" s="270">
        <v>14877107.383519452</v>
      </c>
      <c r="AJ322" s="270">
        <v>14894723.838910658</v>
      </c>
      <c r="AK322" s="270">
        <v>14935074.396008458</v>
      </c>
    </row>
    <row r="323" spans="2:37" ht="12" customHeight="1">
      <c r="B323" s="269" t="s">
        <v>1</v>
      </c>
      <c r="C323" s="246" t="s">
        <v>303</v>
      </c>
      <c r="O323" s="270"/>
      <c r="P323" s="264"/>
      <c r="Q323" s="264"/>
      <c r="R323" s="270">
        <v>-60019193.748332903</v>
      </c>
      <c r="S323" s="270">
        <v>-119359611.71956579</v>
      </c>
      <c r="T323" s="270">
        <v>-102573284.41757423</v>
      </c>
      <c r="U323" s="270">
        <v>-86064765.695432335</v>
      </c>
      <c r="V323" s="270">
        <v>-69835937.884652317</v>
      </c>
      <c r="W323" s="270">
        <v>-53886611.53438659</v>
      </c>
      <c r="X323" s="270">
        <v>-38282482.209380835</v>
      </c>
      <c r="Y323" s="270">
        <v>-22873136.895995203</v>
      </c>
      <c r="Z323" s="270">
        <v>-7742390.2119738497</v>
      </c>
      <c r="AA323" s="270">
        <v>7110102.2987696864</v>
      </c>
      <c r="AB323" s="270">
        <v>21962023.983539198</v>
      </c>
      <c r="AC323" s="270">
        <v>36747967.964594766</v>
      </c>
      <c r="AD323" s="270">
        <v>51600549.020413399</v>
      </c>
      <c r="AE323" s="270">
        <v>66454507.887547098</v>
      </c>
      <c r="AF323" s="270">
        <v>81310927.142267644</v>
      </c>
      <c r="AG323" s="270">
        <v>96171322.391355455</v>
      </c>
      <c r="AH323" s="270">
        <v>110972054.9649812</v>
      </c>
      <c r="AI323" s="270">
        <v>125849162.34850065</v>
      </c>
      <c r="AJ323" s="270">
        <v>140743886.18741131</v>
      </c>
      <c r="AK323" s="270">
        <v>155678960.58341977</v>
      </c>
    </row>
    <row r="324" spans="2:37" ht="12" customHeight="1">
      <c r="B324" s="271"/>
      <c r="O324" s="264"/>
      <c r="P324" s="264"/>
      <c r="Q324" s="264"/>
    </row>
    <row r="325" spans="2:37" ht="12" customHeight="1">
      <c r="B325" s="287"/>
      <c r="C325" s="287"/>
      <c r="D325" s="287"/>
      <c r="E325" s="287"/>
      <c r="F325" s="287"/>
      <c r="G325" s="287"/>
      <c r="H325" s="287"/>
      <c r="I325" s="287"/>
      <c r="J325" s="287"/>
      <c r="K325" s="287"/>
      <c r="O325" s="264"/>
    </row>
    <row r="326" spans="2:37" ht="12" customHeight="1">
      <c r="B326" s="246"/>
      <c r="C326" s="246" t="s">
        <v>304</v>
      </c>
      <c r="D326" s="246"/>
      <c r="E326" s="246"/>
      <c r="F326" s="246"/>
      <c r="G326" s="288">
        <v>0.10269651826466575</v>
      </c>
      <c r="H326" s="246" t="s">
        <v>305</v>
      </c>
      <c r="I326" s="246"/>
      <c r="O326" s="264"/>
    </row>
    <row r="327" spans="2:37" ht="12" customHeight="1">
      <c r="B327" s="246"/>
      <c r="C327" s="246" t="s">
        <v>306</v>
      </c>
      <c r="D327" s="246"/>
      <c r="E327" s="246"/>
      <c r="F327" s="246"/>
      <c r="G327" s="288">
        <v>6.3879977354217576E-2</v>
      </c>
      <c r="H327" s="246" t="s">
        <v>305</v>
      </c>
      <c r="I327" s="246"/>
      <c r="J327" s="270">
        <v>34842705.138405219</v>
      </c>
      <c r="K327" s="246" t="s">
        <v>307</v>
      </c>
      <c r="O327" s="264"/>
    </row>
    <row r="328" spans="2:37" ht="12" customHeight="1">
      <c r="B328" s="246"/>
      <c r="C328" s="246" t="s">
        <v>308</v>
      </c>
      <c r="D328" s="246"/>
      <c r="E328" s="246"/>
      <c r="F328" s="246"/>
      <c r="G328" s="246"/>
      <c r="H328" s="246"/>
      <c r="I328" s="246"/>
      <c r="J328" s="289">
        <v>9</v>
      </c>
      <c r="K328" s="246" t="s">
        <v>309</v>
      </c>
      <c r="O328" s="264"/>
    </row>
    <row r="329" spans="2:37" ht="12" customHeight="1">
      <c r="B329" s="246"/>
      <c r="C329" s="246" t="s">
        <v>310</v>
      </c>
      <c r="D329" s="246"/>
      <c r="E329" s="246"/>
      <c r="F329" s="246"/>
      <c r="G329" s="246"/>
      <c r="H329" s="246"/>
      <c r="I329" s="246"/>
      <c r="J329" s="270">
        <v>-119359611.71956579</v>
      </c>
      <c r="K329" s="246" t="s">
        <v>307</v>
      </c>
      <c r="O329" s="264"/>
    </row>
    <row r="330" spans="2:37" ht="12" customHeight="1">
      <c r="B330" s="256"/>
      <c r="C330" s="256"/>
      <c r="D330" s="256"/>
      <c r="E330" s="256"/>
      <c r="F330" s="256"/>
      <c r="G330" s="256"/>
      <c r="H330" s="256"/>
      <c r="I330" s="256"/>
      <c r="J330" s="256"/>
      <c r="K330" s="256"/>
      <c r="O330" s="264"/>
    </row>
    <row r="331" spans="2:37" ht="12" customHeight="1">
      <c r="O331" s="264"/>
    </row>
    <row r="332" spans="2:37" s="246" customFormat="1" ht="12" customHeight="1">
      <c r="B332" s="290" t="s">
        <v>291</v>
      </c>
      <c r="C332" s="256" t="s">
        <v>311</v>
      </c>
      <c r="D332" s="256"/>
      <c r="E332" s="256"/>
      <c r="F332" s="256"/>
      <c r="G332" s="256"/>
      <c r="H332" s="256"/>
      <c r="I332" s="256"/>
      <c r="J332" s="256"/>
      <c r="K332" s="256"/>
      <c r="L332" s="256"/>
      <c r="M332" s="256"/>
      <c r="N332" s="256"/>
      <c r="O332" s="258">
        <v>-34020000</v>
      </c>
      <c r="P332" s="258"/>
      <c r="Q332" s="258"/>
      <c r="R332" s="258">
        <v>30338000</v>
      </c>
      <c r="S332" s="258">
        <v>28476000</v>
      </c>
      <c r="T332" s="258">
        <v>-14458500</v>
      </c>
      <c r="U332" s="258">
        <v>-13643000</v>
      </c>
      <c r="V332" s="258">
        <v>-12827500</v>
      </c>
      <c r="W332" s="258">
        <v>-12012000</v>
      </c>
      <c r="X332" s="258">
        <v>-11196500</v>
      </c>
      <c r="Y332" s="258">
        <v>-10381000</v>
      </c>
      <c r="Z332" s="258">
        <v>-9565500</v>
      </c>
      <c r="AA332" s="258">
        <v>-8750000</v>
      </c>
      <c r="AB332" s="258">
        <v>0</v>
      </c>
      <c r="AC332" s="258">
        <v>0</v>
      </c>
      <c r="AD332" s="258">
        <v>0</v>
      </c>
      <c r="AE332" s="258">
        <v>0</v>
      </c>
      <c r="AF332" s="258">
        <v>0</v>
      </c>
      <c r="AG332" s="258">
        <v>0</v>
      </c>
      <c r="AH332" s="258">
        <v>0</v>
      </c>
      <c r="AI332" s="258">
        <v>0</v>
      </c>
      <c r="AJ332" s="258">
        <v>0</v>
      </c>
      <c r="AK332" s="258">
        <v>0</v>
      </c>
    </row>
    <row r="333" spans="2:37" s="310" customFormat="1" ht="12" customHeight="1">
      <c r="B333" s="309"/>
      <c r="C333" s="310" t="s">
        <v>312</v>
      </c>
      <c r="J333" s="310">
        <v>1</v>
      </c>
      <c r="K333" s="310">
        <v>2</v>
      </c>
      <c r="L333" s="311">
        <v>70000000</v>
      </c>
      <c r="O333" s="311">
        <v>70000000</v>
      </c>
      <c r="P333" s="311"/>
      <c r="Q333" s="311"/>
      <c r="R333" s="312">
        <v>35000000</v>
      </c>
      <c r="S333" s="312">
        <v>35000000</v>
      </c>
      <c r="T333" s="312">
        <v>0</v>
      </c>
      <c r="U333" s="312">
        <v>0</v>
      </c>
      <c r="V333" s="312">
        <v>0</v>
      </c>
      <c r="W333" s="312">
        <v>0</v>
      </c>
      <c r="X333" s="312">
        <v>0</v>
      </c>
      <c r="Y333" s="312">
        <v>0</v>
      </c>
      <c r="Z333" s="312">
        <v>0</v>
      </c>
      <c r="AA333" s="312">
        <v>0</v>
      </c>
      <c r="AB333" s="312">
        <v>0</v>
      </c>
      <c r="AC333" s="312">
        <v>0</v>
      </c>
      <c r="AD333" s="312">
        <v>0</v>
      </c>
      <c r="AE333" s="312">
        <v>0</v>
      </c>
      <c r="AF333" s="312">
        <v>0</v>
      </c>
      <c r="AG333" s="312">
        <v>0</v>
      </c>
      <c r="AH333" s="312">
        <v>0</v>
      </c>
      <c r="AI333" s="312">
        <v>0</v>
      </c>
      <c r="AJ333" s="312">
        <v>0</v>
      </c>
      <c r="AK333" s="312">
        <v>0</v>
      </c>
    </row>
    <row r="334" spans="2:37" s="310" customFormat="1" ht="12" customHeight="1">
      <c r="B334" s="309"/>
      <c r="C334" s="310" t="s">
        <v>247</v>
      </c>
      <c r="J334" s="310">
        <v>3</v>
      </c>
      <c r="K334" s="310">
        <v>10</v>
      </c>
      <c r="L334" s="311">
        <v>70000000</v>
      </c>
      <c r="O334" s="311">
        <v>-70000000</v>
      </c>
      <c r="P334" s="311"/>
      <c r="Q334" s="311"/>
      <c r="R334" s="312">
        <v>0</v>
      </c>
      <c r="S334" s="312">
        <v>0</v>
      </c>
      <c r="T334" s="312">
        <v>-8750000</v>
      </c>
      <c r="U334" s="312">
        <v>-8750000</v>
      </c>
      <c r="V334" s="312">
        <v>-8750000</v>
      </c>
      <c r="W334" s="312">
        <v>-8750000</v>
      </c>
      <c r="X334" s="312">
        <v>-8750000</v>
      </c>
      <c r="Y334" s="312">
        <v>-8750000</v>
      </c>
      <c r="Z334" s="312">
        <v>-8750000</v>
      </c>
      <c r="AA334" s="312">
        <v>-8750000</v>
      </c>
      <c r="AB334" s="312">
        <v>0</v>
      </c>
      <c r="AC334" s="312">
        <v>0</v>
      </c>
      <c r="AD334" s="312">
        <v>0</v>
      </c>
      <c r="AE334" s="312">
        <v>0</v>
      </c>
      <c r="AF334" s="312">
        <v>0</v>
      </c>
      <c r="AG334" s="312">
        <v>0</v>
      </c>
      <c r="AH334" s="312">
        <v>0</v>
      </c>
      <c r="AI334" s="312">
        <v>0</v>
      </c>
      <c r="AJ334" s="312">
        <v>0</v>
      </c>
      <c r="AK334" s="312">
        <v>0</v>
      </c>
    </row>
    <row r="335" spans="2:37" s="310" customFormat="1" ht="12" customHeight="1">
      <c r="B335" s="309"/>
      <c r="C335" s="310" t="s">
        <v>198</v>
      </c>
      <c r="L335" s="313">
        <v>9.3200000000000005E-2</v>
      </c>
      <c r="O335" s="311">
        <v>-32620000</v>
      </c>
      <c r="P335" s="311"/>
      <c r="Q335" s="311"/>
      <c r="R335" s="312">
        <v>-3262000</v>
      </c>
      <c r="S335" s="312">
        <v>-6524000</v>
      </c>
      <c r="T335" s="312">
        <v>-5708500</v>
      </c>
      <c r="U335" s="312">
        <v>-4893000</v>
      </c>
      <c r="V335" s="312">
        <v>-4077500</v>
      </c>
      <c r="W335" s="312">
        <v>-3262000</v>
      </c>
      <c r="X335" s="312">
        <v>-2446500</v>
      </c>
      <c r="Y335" s="312">
        <v>-1631000</v>
      </c>
      <c r="Z335" s="312">
        <v>-815500</v>
      </c>
      <c r="AA335" s="312">
        <v>0</v>
      </c>
      <c r="AB335" s="312">
        <v>0</v>
      </c>
      <c r="AC335" s="312">
        <v>0</v>
      </c>
      <c r="AD335" s="312">
        <v>0</v>
      </c>
      <c r="AE335" s="312">
        <v>0</v>
      </c>
      <c r="AF335" s="312">
        <v>0</v>
      </c>
      <c r="AG335" s="312">
        <v>0</v>
      </c>
      <c r="AH335" s="312">
        <v>0</v>
      </c>
      <c r="AI335" s="312">
        <v>0</v>
      </c>
      <c r="AJ335" s="312">
        <v>0</v>
      </c>
      <c r="AK335" s="312">
        <v>0</v>
      </c>
    </row>
    <row r="336" spans="2:37" s="310" customFormat="1" ht="12" customHeight="1">
      <c r="B336" s="309"/>
      <c r="C336" s="310" t="s">
        <v>313</v>
      </c>
      <c r="J336" s="310">
        <v>1</v>
      </c>
      <c r="K336" s="310">
        <v>1</v>
      </c>
      <c r="L336" s="311">
        <v>1400000</v>
      </c>
      <c r="O336" s="311">
        <v>-1400000</v>
      </c>
      <c r="P336" s="311"/>
      <c r="Q336" s="311"/>
      <c r="R336" s="312">
        <v>-1400000</v>
      </c>
      <c r="S336" s="312">
        <v>0</v>
      </c>
      <c r="T336" s="312">
        <v>0</v>
      </c>
      <c r="U336" s="312">
        <v>0</v>
      </c>
      <c r="V336" s="312">
        <v>0</v>
      </c>
      <c r="W336" s="312">
        <v>0</v>
      </c>
      <c r="X336" s="312">
        <v>0</v>
      </c>
      <c r="Y336" s="312">
        <v>0</v>
      </c>
      <c r="Z336" s="312">
        <v>0</v>
      </c>
      <c r="AA336" s="312">
        <v>0</v>
      </c>
      <c r="AB336" s="312">
        <v>0</v>
      </c>
      <c r="AC336" s="312">
        <v>0</v>
      </c>
      <c r="AD336" s="312">
        <v>0</v>
      </c>
      <c r="AE336" s="312">
        <v>0</v>
      </c>
      <c r="AF336" s="312">
        <v>0</v>
      </c>
      <c r="AG336" s="312">
        <v>0</v>
      </c>
      <c r="AH336" s="312">
        <v>0</v>
      </c>
      <c r="AI336" s="312">
        <v>0</v>
      </c>
      <c r="AJ336" s="312">
        <v>0</v>
      </c>
      <c r="AK336" s="312">
        <v>0</v>
      </c>
    </row>
    <row r="337" spans="1:37" ht="12" customHeight="1">
      <c r="B337" s="269" t="s">
        <v>1</v>
      </c>
      <c r="C337" s="246" t="s">
        <v>314</v>
      </c>
      <c r="O337" s="270">
        <v>121658960.58341974</v>
      </c>
      <c r="P337" s="264"/>
      <c r="Q337" s="264"/>
      <c r="R337" s="270">
        <v>-29681193.748332903</v>
      </c>
      <c r="S337" s="270">
        <v>-30864417.971232891</v>
      </c>
      <c r="T337" s="270">
        <v>2327827.3019915633</v>
      </c>
      <c r="U337" s="270">
        <v>2865518.7221418843</v>
      </c>
      <c r="V337" s="270">
        <v>3401327.810780026</v>
      </c>
      <c r="W337" s="270">
        <v>3937326.3502657302</v>
      </c>
      <c r="X337" s="270">
        <v>4407629.3250057586</v>
      </c>
      <c r="Y337" s="270">
        <v>5028345.3133856319</v>
      </c>
      <c r="Z337" s="270">
        <v>5565246.6840213537</v>
      </c>
      <c r="AA337" s="270">
        <v>6102492.5107435361</v>
      </c>
      <c r="AB337" s="270">
        <v>14851921.684769511</v>
      </c>
      <c r="AC337" s="270">
        <v>14785943.981055573</v>
      </c>
      <c r="AD337" s="270">
        <v>14852581.055818629</v>
      </c>
      <c r="AE337" s="270">
        <v>14853958.867133699</v>
      </c>
      <c r="AF337" s="270">
        <v>14856419.254720546</v>
      </c>
      <c r="AG337" s="270">
        <v>14860395.249087818</v>
      </c>
      <c r="AH337" s="270">
        <v>14800732.573625743</v>
      </c>
      <c r="AI337" s="270">
        <v>14877107.383519452</v>
      </c>
      <c r="AJ337" s="270">
        <v>14894723.838910658</v>
      </c>
      <c r="AK337" s="270">
        <v>14935074.396008458</v>
      </c>
    </row>
    <row r="338" spans="1:37" ht="12" customHeight="1">
      <c r="B338" s="269"/>
      <c r="C338" s="246" t="s">
        <v>315</v>
      </c>
      <c r="O338" s="264"/>
      <c r="P338" s="264"/>
      <c r="Q338" s="264"/>
      <c r="R338" s="270">
        <v>-29681193.748332903</v>
      </c>
      <c r="S338" s="270">
        <v>-60545611.719565794</v>
      </c>
      <c r="T338" s="270">
        <v>-58217784.417574227</v>
      </c>
      <c r="U338" s="270">
        <v>-55352265.695432343</v>
      </c>
      <c r="V338" s="270">
        <v>-51950937.884652317</v>
      </c>
      <c r="W338" s="270">
        <v>-48013611.53438659</v>
      </c>
      <c r="X338" s="270">
        <v>-43605982.209380835</v>
      </c>
      <c r="Y338" s="270">
        <v>-38577636.8959952</v>
      </c>
      <c r="Z338" s="270">
        <v>-33012390.211973846</v>
      </c>
      <c r="AA338" s="270">
        <v>-26909897.70123031</v>
      </c>
      <c r="AB338" s="270">
        <v>-12057976.016460799</v>
      </c>
      <c r="AC338" s="270">
        <v>2727967.9645947739</v>
      </c>
      <c r="AD338" s="270">
        <v>17580549.020413402</v>
      </c>
      <c r="AE338" s="270">
        <v>32434507.887547102</v>
      </c>
      <c r="AF338" s="270">
        <v>47290927.142267644</v>
      </c>
      <c r="AG338" s="270">
        <v>62151322.391355462</v>
      </c>
      <c r="AH338" s="270">
        <v>76952054.964981198</v>
      </c>
      <c r="AI338" s="270">
        <v>91829162.348500654</v>
      </c>
      <c r="AJ338" s="270">
        <v>106723886.18741131</v>
      </c>
      <c r="AK338" s="270">
        <v>121658960.58341977</v>
      </c>
    </row>
    <row r="339" spans="1:37" ht="12" customHeight="1">
      <c r="O339" s="264"/>
    </row>
    <row r="340" spans="1:37" ht="12" customHeight="1">
      <c r="B340" s="287"/>
      <c r="C340" s="287"/>
      <c r="D340" s="287"/>
      <c r="E340" s="287"/>
      <c r="F340" s="287"/>
      <c r="G340" s="287"/>
      <c r="H340" s="287"/>
      <c r="I340" s="287"/>
      <c r="J340" s="287"/>
      <c r="K340" s="287"/>
      <c r="O340" s="264"/>
    </row>
    <row r="341" spans="1:37" ht="12" customHeight="1">
      <c r="B341" s="246"/>
      <c r="C341" s="246" t="s">
        <v>304</v>
      </c>
      <c r="D341" s="246"/>
      <c r="E341" s="246"/>
      <c r="F341" s="246"/>
      <c r="G341" s="288">
        <v>0.10010087831750836</v>
      </c>
      <c r="H341" s="246" t="s">
        <v>305</v>
      </c>
      <c r="I341" s="246"/>
      <c r="O341" s="264"/>
    </row>
    <row r="342" spans="1:37" ht="12" customHeight="1">
      <c r="B342" s="246"/>
      <c r="C342" s="246" t="s">
        <v>306</v>
      </c>
      <c r="D342" s="246"/>
      <c r="E342" s="246"/>
      <c r="F342" s="246"/>
      <c r="G342" s="288">
        <v>6.3879977354217576E-2</v>
      </c>
      <c r="H342" s="246" t="s">
        <v>305</v>
      </c>
      <c r="I342" s="246"/>
      <c r="J342" s="270">
        <v>24391604.421497539</v>
      </c>
      <c r="K342" s="246" t="s">
        <v>307</v>
      </c>
      <c r="O342" s="264"/>
    </row>
    <row r="343" spans="1:37" ht="12" customHeight="1">
      <c r="B343" s="246"/>
      <c r="C343" s="246" t="s">
        <v>308</v>
      </c>
      <c r="D343" s="246"/>
      <c r="E343" s="246"/>
      <c r="F343" s="246"/>
      <c r="G343" s="246"/>
      <c r="H343" s="246"/>
      <c r="I343" s="246"/>
      <c r="J343" s="289">
        <v>11</v>
      </c>
      <c r="K343" s="246" t="s">
        <v>309</v>
      </c>
      <c r="O343" s="264"/>
    </row>
    <row r="344" spans="1:37" ht="12" customHeight="1">
      <c r="B344" s="246"/>
      <c r="C344" s="246" t="s">
        <v>310</v>
      </c>
      <c r="D344" s="246"/>
      <c r="E344" s="246"/>
      <c r="F344" s="246"/>
      <c r="G344" s="246"/>
      <c r="H344" s="246"/>
      <c r="I344" s="246"/>
      <c r="J344" s="270">
        <v>-60545611.719565794</v>
      </c>
      <c r="K344" s="246" t="s">
        <v>307</v>
      </c>
      <c r="O344" s="264"/>
    </row>
    <row r="345" spans="1:37" ht="12" customHeight="1">
      <c r="B345" s="256"/>
      <c r="C345" s="256"/>
      <c r="D345" s="256"/>
      <c r="E345" s="256"/>
      <c r="F345" s="256"/>
      <c r="G345" s="256"/>
      <c r="H345" s="256"/>
      <c r="I345" s="256"/>
      <c r="J345" s="256"/>
      <c r="K345" s="256"/>
      <c r="O345" s="264"/>
    </row>
    <row r="346" spans="1:37" ht="12" customHeight="1">
      <c r="O346" s="264"/>
    </row>
    <row r="347" spans="1:37" ht="12" customHeight="1">
      <c r="A347" s="291"/>
      <c r="B347" s="291"/>
      <c r="C347" s="291"/>
      <c r="D347" s="291"/>
      <c r="E347" s="291"/>
      <c r="F347" s="291"/>
      <c r="G347" s="291"/>
      <c r="H347" s="291"/>
      <c r="I347" s="291"/>
      <c r="J347" s="291"/>
      <c r="K347" s="291"/>
      <c r="L347" s="291"/>
    </row>
  </sheetData>
  <pageMargins left="0.51181102362204722" right="0.51181102362204722" top="0.78740157480314965" bottom="0.78740157480314965" header="0.31496062992125984" footer="0.31496062992125984"/>
  <pageSetup paperSize="9" scale="70" pageOrder="overThenDown" orientation="landscape" horizontalDpi="360" verticalDpi="360" r:id="rId1"/>
  <rowBreaks count="5" manualBreakCount="5">
    <brk id="25" max="46" man="1"/>
    <brk id="44" max="46" man="1"/>
    <brk id="237" max="46" man="1"/>
    <brk id="262" max="46" man="1"/>
    <brk id="309" max="46" man="1"/>
  </rowBreaks>
  <colBreaks count="1" manualBreakCount="1">
    <brk id="27" max="6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showGridLines="0" tabSelected="1" view="pageBreakPreview" topLeftCell="B10" zoomScale="144" zoomScaleNormal="100" workbookViewId="0">
      <selection activeCell="C27" sqref="C27"/>
    </sheetView>
  </sheetViews>
  <sheetFormatPr defaultColWidth="8.85546875" defaultRowHeight="15"/>
  <cols>
    <col min="2" max="2" width="28.42578125" customWidth="1"/>
    <col min="3" max="3" width="49" customWidth="1"/>
    <col min="4" max="4" width="40.140625" customWidth="1"/>
    <col min="5" max="5" width="12.42578125" customWidth="1"/>
    <col min="6" max="6" width="17.7109375" customWidth="1"/>
  </cols>
  <sheetData>
    <row r="1" spans="2:4" ht="15.75" thickBot="1"/>
    <row r="2" spans="2:4" ht="38.25" customHeight="1">
      <c r="B2" s="292" t="s">
        <v>4</v>
      </c>
      <c r="C2" s="293" t="s">
        <v>316</v>
      </c>
      <c r="D2" s="294" t="s">
        <v>317</v>
      </c>
    </row>
    <row r="3" spans="2:4">
      <c r="B3" s="295" t="s">
        <v>318</v>
      </c>
      <c r="C3" s="296">
        <v>0</v>
      </c>
      <c r="D3" s="297">
        <v>0</v>
      </c>
    </row>
    <row r="4" spans="2:4">
      <c r="B4" s="295" t="s">
        <v>319</v>
      </c>
      <c r="C4" s="296">
        <v>0</v>
      </c>
      <c r="D4" s="297">
        <v>0</v>
      </c>
    </row>
    <row r="5" spans="2:4">
      <c r="B5" s="295" t="s">
        <v>320</v>
      </c>
      <c r="C5" s="296">
        <v>11113648.68673696</v>
      </c>
      <c r="D5" s="297">
        <v>133363784.24084352</v>
      </c>
    </row>
    <row r="6" spans="2:4">
      <c r="B6" s="295" t="s">
        <v>321</v>
      </c>
      <c r="C6" s="296">
        <v>11177015.567195272</v>
      </c>
      <c r="D6" s="297">
        <v>134124186.80634327</v>
      </c>
    </row>
    <row r="7" spans="2:4">
      <c r="B7" s="295" t="s">
        <v>322</v>
      </c>
      <c r="C7" s="296">
        <v>11239969.578683309</v>
      </c>
      <c r="D7" s="297">
        <v>134879634.94419971</v>
      </c>
    </row>
    <row r="8" spans="2:4">
      <c r="B8" s="295" t="s">
        <v>323</v>
      </c>
      <c r="C8" s="296">
        <v>11302455.672005026</v>
      </c>
      <c r="D8" s="297">
        <v>135629468.0640603</v>
      </c>
    </row>
    <row r="9" spans="2:4">
      <c r="B9" s="295" t="s">
        <v>324</v>
      </c>
      <c r="C9" s="296">
        <v>11364407.001708088</v>
      </c>
      <c r="D9" s="297">
        <v>136372884.02049705</v>
      </c>
    </row>
    <row r="10" spans="2:4">
      <c r="B10" s="295" t="s">
        <v>325</v>
      </c>
      <c r="C10" s="296">
        <v>11182964.707616951</v>
      </c>
      <c r="D10" s="297">
        <v>134195576.49140342</v>
      </c>
    </row>
    <row r="11" spans="2:4">
      <c r="B11" s="295" t="s">
        <v>326</v>
      </c>
      <c r="C11" s="296">
        <v>11241650.8317526</v>
      </c>
      <c r="D11" s="297">
        <v>134899809.98103121</v>
      </c>
    </row>
    <row r="12" spans="2:4">
      <c r="B12" s="295" t="s">
        <v>327</v>
      </c>
      <c r="C12" s="296">
        <v>11299486.195585852</v>
      </c>
      <c r="D12" s="297">
        <v>135593834.34703022</v>
      </c>
    </row>
    <row r="13" spans="2:4">
      <c r="B13" s="295" t="s">
        <v>328</v>
      </c>
      <c r="C13" s="296">
        <v>11356300.647056231</v>
      </c>
      <c r="D13" s="297">
        <v>136275607.76467478</v>
      </c>
    </row>
    <row r="14" spans="2:4">
      <c r="B14" s="295" t="s">
        <v>329</v>
      </c>
      <c r="C14" s="296">
        <v>11411867.31674975</v>
      </c>
      <c r="D14" s="297">
        <v>136942407.80099699</v>
      </c>
    </row>
    <row r="15" spans="2:4">
      <c r="B15" s="295" t="s">
        <v>330</v>
      </c>
      <c r="C15" s="296">
        <v>11465481.264918061</v>
      </c>
      <c r="D15" s="297">
        <v>137585775.17901674</v>
      </c>
    </row>
    <row r="16" spans="2:4">
      <c r="B16" s="295" t="s">
        <v>331</v>
      </c>
      <c r="C16" s="296">
        <v>11517482.843820577</v>
      </c>
      <c r="D16" s="297">
        <v>138209794.12584692</v>
      </c>
    </row>
    <row r="17" spans="2:4">
      <c r="B17" s="295" t="s">
        <v>332</v>
      </c>
      <c r="C17" s="296">
        <v>11566810.604629844</v>
      </c>
      <c r="D17" s="297">
        <v>138801727.25555813</v>
      </c>
    </row>
    <row r="18" spans="2:4">
      <c r="B18" s="295" t="s">
        <v>333</v>
      </c>
      <c r="C18" s="296">
        <v>11612395.020108558</v>
      </c>
      <c r="D18" s="297">
        <v>139348740.2413027</v>
      </c>
    </row>
    <row r="19" spans="2:4">
      <c r="B19" s="295" t="s">
        <v>334</v>
      </c>
      <c r="C19" s="296">
        <v>11652364.417591438</v>
      </c>
      <c r="D19" s="297">
        <v>139828373.01109725</v>
      </c>
    </row>
    <row r="20" spans="2:4">
      <c r="B20" s="295" t="s">
        <v>335</v>
      </c>
      <c r="C20" s="296">
        <v>11681927.466936857</v>
      </c>
      <c r="D20" s="297">
        <v>140183129.60324228</v>
      </c>
    </row>
    <row r="21" spans="2:4">
      <c r="B21" s="295" t="s">
        <v>336</v>
      </c>
      <c r="C21" s="296">
        <v>11693821.774440581</v>
      </c>
      <c r="D21" s="297">
        <v>140325861.29328698</v>
      </c>
    </row>
    <row r="22" spans="2:4" ht="15.75" thickBot="1">
      <c r="B22" s="295" t="s">
        <v>337</v>
      </c>
      <c r="C22" s="296">
        <v>11649565.901985994</v>
      </c>
      <c r="D22" s="297">
        <v>139794790.82383192</v>
      </c>
    </row>
    <row r="23" spans="2:4" ht="34.5" customHeight="1" thickBot="1">
      <c r="B23" s="317" t="s">
        <v>348</v>
      </c>
      <c r="C23" s="318"/>
      <c r="D23" s="298">
        <v>2466355385.9942636</v>
      </c>
    </row>
    <row r="35" spans="4:4">
      <c r="D35" s="3"/>
    </row>
  </sheetData>
  <mergeCells count="1">
    <mergeCell ref="B23:C23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zoomScale="90" zoomScaleNormal="90" workbookViewId="0">
      <pane ySplit="4" topLeftCell="A10" activePane="bottomLeft" state="frozen"/>
      <selection activeCell="A33" sqref="A33"/>
      <selection pane="bottomLeft" activeCell="A33" sqref="A33"/>
    </sheetView>
  </sheetViews>
  <sheetFormatPr defaultColWidth="8.85546875" defaultRowHeight="15"/>
  <cols>
    <col min="1" max="1" width="11.85546875" customWidth="1"/>
    <col min="2" max="2" width="49.28515625" customWidth="1"/>
    <col min="3" max="3" width="0.85546875" customWidth="1"/>
    <col min="4" max="4" width="21.140625" customWidth="1"/>
    <col min="5" max="5" width="0.85546875" customWidth="1"/>
    <col min="6" max="28" width="19.42578125" customWidth="1"/>
  </cols>
  <sheetData>
    <row r="1" spans="1:34" ht="21">
      <c r="A1" s="2"/>
      <c r="B1" s="94" t="s">
        <v>126</v>
      </c>
      <c r="C1" s="2"/>
      <c r="D1" s="2"/>
      <c r="E1" s="2"/>
      <c r="F1" s="2"/>
      <c r="G1" s="2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2"/>
      <c r="AD1" s="2"/>
      <c r="AE1" s="2"/>
      <c r="AF1" s="2"/>
      <c r="AG1" s="2"/>
      <c r="AH1" s="2"/>
    </row>
    <row r="2" spans="1:34" ht="15.75" thickBot="1">
      <c r="A2" s="11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>
      <c r="A3" s="115"/>
      <c r="B3" s="321" t="s">
        <v>127</v>
      </c>
      <c r="C3" s="96"/>
      <c r="D3" s="319" t="s">
        <v>124</v>
      </c>
      <c r="E3" s="97"/>
      <c r="F3" s="319">
        <v>0</v>
      </c>
      <c r="G3" s="319">
        <f>F3+1</f>
        <v>1</v>
      </c>
      <c r="H3" s="319">
        <f t="shared" ref="H3:Z3" si="0">G3+1</f>
        <v>2</v>
      </c>
      <c r="I3" s="319">
        <f t="shared" si="0"/>
        <v>3</v>
      </c>
      <c r="J3" s="319">
        <f t="shared" si="0"/>
        <v>4</v>
      </c>
      <c r="K3" s="319">
        <f t="shared" si="0"/>
        <v>5</v>
      </c>
      <c r="L3" s="319">
        <f t="shared" si="0"/>
        <v>6</v>
      </c>
      <c r="M3" s="319">
        <f t="shared" si="0"/>
        <v>7</v>
      </c>
      <c r="N3" s="319">
        <f t="shared" si="0"/>
        <v>8</v>
      </c>
      <c r="O3" s="319">
        <f t="shared" si="0"/>
        <v>9</v>
      </c>
      <c r="P3" s="319">
        <f t="shared" si="0"/>
        <v>10</v>
      </c>
      <c r="Q3" s="319">
        <f t="shared" si="0"/>
        <v>11</v>
      </c>
      <c r="R3" s="319">
        <f t="shared" si="0"/>
        <v>12</v>
      </c>
      <c r="S3" s="319">
        <f t="shared" si="0"/>
        <v>13</v>
      </c>
      <c r="T3" s="319">
        <f t="shared" si="0"/>
        <v>14</v>
      </c>
      <c r="U3" s="319">
        <f t="shared" si="0"/>
        <v>15</v>
      </c>
      <c r="V3" s="319">
        <f t="shared" si="0"/>
        <v>16</v>
      </c>
      <c r="W3" s="319">
        <f t="shared" si="0"/>
        <v>17</v>
      </c>
      <c r="X3" s="319">
        <f t="shared" si="0"/>
        <v>18</v>
      </c>
      <c r="Y3" s="319">
        <f t="shared" si="0"/>
        <v>19</v>
      </c>
      <c r="Z3" s="319">
        <f t="shared" si="0"/>
        <v>20</v>
      </c>
      <c r="AA3" s="319">
        <f>Z3+1</f>
        <v>21</v>
      </c>
      <c r="AB3" s="319">
        <f>AA3+1</f>
        <v>22</v>
      </c>
      <c r="AC3" s="2"/>
      <c r="AD3" s="2"/>
      <c r="AE3" s="2"/>
      <c r="AF3" s="2"/>
      <c r="AG3" s="2"/>
      <c r="AH3" s="2"/>
    </row>
    <row r="4" spans="1:34" ht="15.75" thickBot="1">
      <c r="A4" s="2"/>
      <c r="B4" s="322"/>
      <c r="C4" s="98"/>
      <c r="D4" s="320"/>
      <c r="E4" s="99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2"/>
      <c r="AD4" s="2"/>
      <c r="AE4" s="2"/>
      <c r="AF4" s="2"/>
      <c r="AG4" s="2"/>
      <c r="AH4" s="2"/>
    </row>
    <row r="5" spans="1:34" ht="15.75" thickBot="1">
      <c r="A5" s="2"/>
      <c r="B5" s="10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9.5" thickBot="1">
      <c r="A6" s="2"/>
      <c r="B6" s="101" t="s">
        <v>128</v>
      </c>
      <c r="C6" s="102"/>
      <c r="D6" s="206" t="e">
        <f>D8+D25+D31</f>
        <v>#REF!</v>
      </c>
      <c r="E6" s="102"/>
      <c r="F6" s="103"/>
      <c r="G6" s="103"/>
      <c r="H6" s="103" t="e">
        <f>SUM(H8,H17,H25,H31)</f>
        <v>#REF!</v>
      </c>
      <c r="I6" s="103" t="e">
        <f>SUM(I8,I17,I25,I31)</f>
        <v>#REF!</v>
      </c>
      <c r="J6" s="103" t="e">
        <f t="shared" ref="J6:AB6" si="1">SUM(J8,J17,J25,J31)</f>
        <v>#REF!</v>
      </c>
      <c r="K6" s="103" t="e">
        <f t="shared" si="1"/>
        <v>#REF!</v>
      </c>
      <c r="L6" s="103" t="e">
        <f t="shared" si="1"/>
        <v>#REF!</v>
      </c>
      <c r="M6" s="103" t="e">
        <f t="shared" si="1"/>
        <v>#REF!</v>
      </c>
      <c r="N6" s="103" t="e">
        <f t="shared" si="1"/>
        <v>#REF!</v>
      </c>
      <c r="O6" s="103" t="e">
        <f t="shared" si="1"/>
        <v>#REF!</v>
      </c>
      <c r="P6" s="103" t="e">
        <f t="shared" si="1"/>
        <v>#REF!</v>
      </c>
      <c r="Q6" s="103" t="e">
        <f t="shared" si="1"/>
        <v>#REF!</v>
      </c>
      <c r="R6" s="103" t="e">
        <f t="shared" si="1"/>
        <v>#REF!</v>
      </c>
      <c r="S6" s="103" t="e">
        <f t="shared" si="1"/>
        <v>#REF!</v>
      </c>
      <c r="T6" s="103" t="e">
        <f t="shared" si="1"/>
        <v>#REF!</v>
      </c>
      <c r="U6" s="103" t="e">
        <f t="shared" si="1"/>
        <v>#REF!</v>
      </c>
      <c r="V6" s="103" t="e">
        <f t="shared" si="1"/>
        <v>#REF!</v>
      </c>
      <c r="W6" s="103" t="e">
        <f t="shared" si="1"/>
        <v>#REF!</v>
      </c>
      <c r="X6" s="103" t="e">
        <f t="shared" si="1"/>
        <v>#REF!</v>
      </c>
      <c r="Y6" s="103" t="e">
        <f t="shared" si="1"/>
        <v>#REF!</v>
      </c>
      <c r="Z6" s="103" t="e">
        <f t="shared" si="1"/>
        <v>#REF!</v>
      </c>
      <c r="AA6" s="103" t="e">
        <f t="shared" si="1"/>
        <v>#REF!</v>
      </c>
      <c r="AB6" s="103" t="e">
        <f t="shared" si="1"/>
        <v>#REF!</v>
      </c>
      <c r="AC6" s="2"/>
      <c r="AD6" s="2"/>
      <c r="AE6" s="2"/>
      <c r="AF6" s="2"/>
      <c r="AG6" s="2"/>
      <c r="AH6" s="2"/>
    </row>
    <row r="7" spans="1:34" ht="16.5" thickTop="1" thickBot="1">
      <c r="A7" s="104"/>
      <c r="B7" s="100"/>
      <c r="C7" s="2"/>
      <c r="D7" s="2"/>
      <c r="E7" s="2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2"/>
      <c r="AD7" s="2"/>
      <c r="AE7" s="2"/>
      <c r="AF7" s="2"/>
      <c r="AG7" s="2"/>
      <c r="AH7" s="2"/>
    </row>
    <row r="8" spans="1:34" ht="16.5" thickBot="1">
      <c r="A8" s="144"/>
      <c r="B8" s="145" t="s">
        <v>71</v>
      </c>
      <c r="C8" s="146"/>
      <c r="D8" s="147" t="e">
        <f>SUM(F8:AB8)</f>
        <v>#REF!</v>
      </c>
      <c r="E8" s="148"/>
      <c r="F8" s="149" t="e">
        <f>SUM(F9:F16)</f>
        <v>#REF!</v>
      </c>
      <c r="G8" s="149" t="e">
        <f>SUM(G9:G16)</f>
        <v>#REF!</v>
      </c>
      <c r="H8" s="149" t="e">
        <f>SUM(H9:H16)</f>
        <v>#REF!</v>
      </c>
      <c r="I8" s="149" t="e">
        <f>SUM(I9:I16)</f>
        <v>#REF!</v>
      </c>
      <c r="J8" s="149" t="e">
        <f t="shared" ref="J8:AB8" si="2">SUM(J9:J16)</f>
        <v>#REF!</v>
      </c>
      <c r="K8" s="149" t="e">
        <f t="shared" si="2"/>
        <v>#REF!</v>
      </c>
      <c r="L8" s="149" t="e">
        <f t="shared" si="2"/>
        <v>#REF!</v>
      </c>
      <c r="M8" s="149" t="e">
        <f t="shared" si="2"/>
        <v>#REF!</v>
      </c>
      <c r="N8" s="149" t="e">
        <f t="shared" si="2"/>
        <v>#REF!</v>
      </c>
      <c r="O8" s="149" t="e">
        <f t="shared" si="2"/>
        <v>#REF!</v>
      </c>
      <c r="P8" s="149" t="e">
        <f t="shared" si="2"/>
        <v>#REF!</v>
      </c>
      <c r="Q8" s="149" t="e">
        <f t="shared" si="2"/>
        <v>#REF!</v>
      </c>
      <c r="R8" s="149" t="e">
        <f t="shared" si="2"/>
        <v>#REF!</v>
      </c>
      <c r="S8" s="149" t="e">
        <f t="shared" si="2"/>
        <v>#REF!</v>
      </c>
      <c r="T8" s="149" t="e">
        <f t="shared" si="2"/>
        <v>#REF!</v>
      </c>
      <c r="U8" s="149" t="e">
        <f t="shared" si="2"/>
        <v>#REF!</v>
      </c>
      <c r="V8" s="149" t="e">
        <f t="shared" si="2"/>
        <v>#REF!</v>
      </c>
      <c r="W8" s="149" t="e">
        <f t="shared" si="2"/>
        <v>#REF!</v>
      </c>
      <c r="X8" s="149" t="e">
        <f t="shared" si="2"/>
        <v>#REF!</v>
      </c>
      <c r="Y8" s="149" t="e">
        <f t="shared" si="2"/>
        <v>#REF!</v>
      </c>
      <c r="Z8" s="149" t="e">
        <f t="shared" si="2"/>
        <v>#REF!</v>
      </c>
      <c r="AA8" s="149" t="e">
        <f t="shared" si="2"/>
        <v>#REF!</v>
      </c>
      <c r="AB8" s="149" t="e">
        <f t="shared" si="2"/>
        <v>#REF!</v>
      </c>
      <c r="AC8" s="2"/>
      <c r="AD8" s="2" t="s">
        <v>129</v>
      </c>
      <c r="AE8" s="115" t="e">
        <f>ROUND(SUM(A9:A16)+A32+A33,0)</f>
        <v>#REF!</v>
      </c>
      <c r="AF8" s="2" t="s">
        <v>72</v>
      </c>
      <c r="AG8" s="2"/>
      <c r="AH8" s="150" t="s">
        <v>75</v>
      </c>
    </row>
    <row r="9" spans="1:34">
      <c r="A9" s="115" t="e">
        <f>D9/'Balanço de massa RSD'!$AQ$6</f>
        <v>#REF!</v>
      </c>
      <c r="B9" s="150" t="s">
        <v>75</v>
      </c>
      <c r="C9" s="106"/>
      <c r="D9" s="151" t="e">
        <f>SUM(F9:AB9)</f>
        <v>#REF!</v>
      </c>
      <c r="E9" s="106"/>
      <c r="F9" s="151" t="e">
        <f>#REF!*'Balanço de massa RSD'!F6</f>
        <v>#REF!</v>
      </c>
      <c r="G9" s="151" t="e">
        <f>#REF!*'Balanço de massa RSD'!F6</f>
        <v>#REF!</v>
      </c>
      <c r="H9" s="151" t="e">
        <f>#REF!*'Balanço de massa RSD'!G6</f>
        <v>#REF!</v>
      </c>
      <c r="I9" s="151" t="e">
        <f>#REF!*'Balanço de massa RSD'!H6</f>
        <v>#REF!</v>
      </c>
      <c r="J9" s="151" t="e">
        <f>#REF!*'Balanço de massa RSD'!I6</f>
        <v>#REF!</v>
      </c>
      <c r="K9" s="151" t="e">
        <f>#REF!*'Balanço de massa RSD'!J6</f>
        <v>#REF!</v>
      </c>
      <c r="L9" s="151" t="e">
        <f>#REF!*'Balanço de massa RSD'!K6</f>
        <v>#REF!</v>
      </c>
      <c r="M9" s="151" t="e">
        <f>#REF!*'Balanço de massa RSD'!L6</f>
        <v>#REF!</v>
      </c>
      <c r="N9" s="151" t="e">
        <f>#REF!*'Balanço de massa RSD'!M6</f>
        <v>#REF!</v>
      </c>
      <c r="O9" s="151" t="e">
        <f>#REF!*'Balanço de massa RSD'!N6</f>
        <v>#REF!</v>
      </c>
      <c r="P9" s="151" t="e">
        <f>#REF!*'Balanço de massa RSD'!O6</f>
        <v>#REF!</v>
      </c>
      <c r="Q9" s="151" t="e">
        <f>#REF!*'Balanço de massa RSD'!P6</f>
        <v>#REF!</v>
      </c>
      <c r="R9" s="151" t="e">
        <f>#REF!*'Balanço de massa RSD'!Q6</f>
        <v>#REF!</v>
      </c>
      <c r="S9" s="151" t="e">
        <f>#REF!*'Balanço de massa RSD'!R6</f>
        <v>#REF!</v>
      </c>
      <c r="T9" s="151" t="e">
        <f>#REF!*'Balanço de massa RSD'!S6</f>
        <v>#REF!</v>
      </c>
      <c r="U9" s="151" t="e">
        <f>#REF!*'Balanço de massa RSD'!T6</f>
        <v>#REF!</v>
      </c>
      <c r="V9" s="151" t="e">
        <f>#REF!*'Balanço de massa RSD'!U6</f>
        <v>#REF!</v>
      </c>
      <c r="W9" s="151" t="e">
        <f>#REF!*'Balanço de massa RSD'!V6</f>
        <v>#REF!</v>
      </c>
      <c r="X9" s="151" t="e">
        <f>#REF!*'Balanço de massa RSD'!W6</f>
        <v>#REF!</v>
      </c>
      <c r="Y9" s="151" t="e">
        <f>#REF!*'Balanço de massa RSD'!X6</f>
        <v>#REF!</v>
      </c>
      <c r="Z9" s="151" t="e">
        <f>#REF!*'Balanço de massa RSD'!Y6</f>
        <v>#REF!</v>
      </c>
      <c r="AA9" s="151" t="e">
        <f>#REF!*'Balanço de massa RSD'!Z6</f>
        <v>#REF!</v>
      </c>
      <c r="AB9" s="151" t="e">
        <f>#REF!*'Balanço de massa RSD'!AA6</f>
        <v>#REF!</v>
      </c>
      <c r="AC9" s="2"/>
      <c r="AD9" s="115" t="s">
        <v>130</v>
      </c>
      <c r="AE9" s="115">
        <f>A32+A34</f>
        <v>114.03</v>
      </c>
      <c r="AF9" s="2" t="s">
        <v>72</v>
      </c>
      <c r="AG9" s="2"/>
      <c r="AH9" s="152" t="s">
        <v>76</v>
      </c>
    </row>
    <row r="10" spans="1:34">
      <c r="A10" s="115" t="e">
        <f>D10/'Balanço de massa RSD'!$AQ$6</f>
        <v>#REF!</v>
      </c>
      <c r="B10" s="152" t="s">
        <v>76</v>
      </c>
      <c r="C10" s="153"/>
      <c r="D10" s="154" t="e">
        <f t="shared" ref="D10:D16" si="3">SUM(F10:AB10)</f>
        <v>#REF!</v>
      </c>
      <c r="E10" s="153"/>
      <c r="F10" s="154" t="e">
        <f>#REF!*'Balanço de massa RSD'!F6</f>
        <v>#REF!</v>
      </c>
      <c r="G10" s="154" t="e">
        <f>#REF!*'Balanço de massa RSD'!F6</f>
        <v>#REF!</v>
      </c>
      <c r="H10" s="154" t="e">
        <f>#REF!*'Balanço de massa RSD'!G6</f>
        <v>#REF!</v>
      </c>
      <c r="I10" s="154" t="e">
        <f>#REF!*'Balanço de massa RSD'!H6</f>
        <v>#REF!</v>
      </c>
      <c r="J10" s="154" t="e">
        <f>#REF!*'Balanço de massa RSD'!I6</f>
        <v>#REF!</v>
      </c>
      <c r="K10" s="154" t="e">
        <f>#REF!*'Balanço de massa RSD'!J6</f>
        <v>#REF!</v>
      </c>
      <c r="L10" s="154" t="e">
        <f>#REF!*'Balanço de massa RSD'!K6</f>
        <v>#REF!</v>
      </c>
      <c r="M10" s="154" t="e">
        <f>#REF!*'Balanço de massa RSD'!L6</f>
        <v>#REF!</v>
      </c>
      <c r="N10" s="154" t="e">
        <f>#REF!*'Balanço de massa RSD'!M6</f>
        <v>#REF!</v>
      </c>
      <c r="O10" s="154" t="e">
        <f>#REF!*'Balanço de massa RSD'!N6</f>
        <v>#REF!</v>
      </c>
      <c r="P10" s="154" t="e">
        <f>#REF!*'Balanço de massa RSD'!O6</f>
        <v>#REF!</v>
      </c>
      <c r="Q10" s="154" t="e">
        <f>#REF!*'Balanço de massa RSD'!P6</f>
        <v>#REF!</v>
      </c>
      <c r="R10" s="154" t="e">
        <f>#REF!*'Balanço de massa RSD'!Q6</f>
        <v>#REF!</v>
      </c>
      <c r="S10" s="154" t="e">
        <f>#REF!*'Balanço de massa RSD'!R6</f>
        <v>#REF!</v>
      </c>
      <c r="T10" s="154" t="e">
        <f>#REF!*'Balanço de massa RSD'!S6</f>
        <v>#REF!</v>
      </c>
      <c r="U10" s="154" t="e">
        <f>#REF!*'Balanço de massa RSD'!T6</f>
        <v>#REF!</v>
      </c>
      <c r="V10" s="154" t="e">
        <f>#REF!*'Balanço de massa RSD'!U6</f>
        <v>#REF!</v>
      </c>
      <c r="W10" s="154" t="e">
        <f>#REF!*'Balanço de massa RSD'!V6</f>
        <v>#REF!</v>
      </c>
      <c r="X10" s="154" t="e">
        <f>#REF!*'Balanço de massa RSD'!W6</f>
        <v>#REF!</v>
      </c>
      <c r="Y10" s="154" t="e">
        <f>#REF!*'Balanço de massa RSD'!X6</f>
        <v>#REF!</v>
      </c>
      <c r="Z10" s="154" t="e">
        <f>#REF!*'Balanço de massa RSD'!Y6</f>
        <v>#REF!</v>
      </c>
      <c r="AA10" s="154" t="e">
        <f>#REF!*'Balanço de massa RSD'!Z6</f>
        <v>#REF!</v>
      </c>
      <c r="AB10" s="154" t="e">
        <f>#REF!*'Balanço de massa RSD'!AA6</f>
        <v>#REF!</v>
      </c>
      <c r="AC10" s="2"/>
      <c r="AD10" s="115" t="s">
        <v>8</v>
      </c>
      <c r="AE10" s="115" t="e">
        <f>ROUND(SUM(A26:A30)+A32+A35,0)</f>
        <v>#REF!</v>
      </c>
      <c r="AF10" s="2" t="s">
        <v>72</v>
      </c>
      <c r="AG10" s="2"/>
      <c r="AH10" s="152" t="s">
        <v>77</v>
      </c>
    </row>
    <row r="11" spans="1:34">
      <c r="A11" s="115" t="e">
        <f>D11/'Balanço de massa RSD'!$AQ$6</f>
        <v>#REF!</v>
      </c>
      <c r="B11" s="152" t="s">
        <v>77</v>
      </c>
      <c r="C11" s="153"/>
      <c r="D11" s="154" t="e">
        <f t="shared" si="3"/>
        <v>#REF!</v>
      </c>
      <c r="E11" s="153"/>
      <c r="F11" s="154" t="e">
        <f>#REF!*'Balanço de massa RSD'!F6</f>
        <v>#REF!</v>
      </c>
      <c r="G11" s="154" t="e">
        <f>#REF!*'Balanço de massa RSD'!F6</f>
        <v>#REF!</v>
      </c>
      <c r="H11" s="154" t="e">
        <f>#REF!*'Balanço de massa RSD'!G6</f>
        <v>#REF!</v>
      </c>
      <c r="I11" s="154" t="e">
        <f>#REF!*'Balanço de massa RSD'!H6</f>
        <v>#REF!</v>
      </c>
      <c r="J11" s="154" t="e">
        <f>#REF!*'Balanço de massa RSD'!I6</f>
        <v>#REF!</v>
      </c>
      <c r="K11" s="154" t="e">
        <f>#REF!*'Balanço de massa RSD'!J6</f>
        <v>#REF!</v>
      </c>
      <c r="L11" s="154" t="e">
        <f>#REF!*'Balanço de massa RSD'!K6</f>
        <v>#REF!</v>
      </c>
      <c r="M11" s="154" t="e">
        <f>#REF!*'Balanço de massa RSD'!L6</f>
        <v>#REF!</v>
      </c>
      <c r="N11" s="154" t="e">
        <f>#REF!*'Balanço de massa RSD'!M6</f>
        <v>#REF!</v>
      </c>
      <c r="O11" s="154" t="e">
        <f>#REF!*'Balanço de massa RSD'!N6</f>
        <v>#REF!</v>
      </c>
      <c r="P11" s="154" t="e">
        <f>#REF!*'Balanço de massa RSD'!O6</f>
        <v>#REF!</v>
      </c>
      <c r="Q11" s="154" t="e">
        <f>#REF!*'Balanço de massa RSD'!P6</f>
        <v>#REF!</v>
      </c>
      <c r="R11" s="154" t="e">
        <f>#REF!*'Balanço de massa RSD'!Q6</f>
        <v>#REF!</v>
      </c>
      <c r="S11" s="154" t="e">
        <f>#REF!*'Balanço de massa RSD'!R6</f>
        <v>#REF!</v>
      </c>
      <c r="T11" s="154" t="e">
        <f>#REF!*'Balanço de massa RSD'!S6</f>
        <v>#REF!</v>
      </c>
      <c r="U11" s="154" t="e">
        <f>#REF!*'Balanço de massa RSD'!T6</f>
        <v>#REF!</v>
      </c>
      <c r="V11" s="154" t="e">
        <f>#REF!*'Balanço de massa RSD'!U6</f>
        <v>#REF!</v>
      </c>
      <c r="W11" s="154" t="e">
        <f>#REF!*'Balanço de massa RSD'!V6</f>
        <v>#REF!</v>
      </c>
      <c r="X11" s="154" t="e">
        <f>#REF!*'Balanço de massa RSD'!W6</f>
        <v>#REF!</v>
      </c>
      <c r="Y11" s="154" t="e">
        <f>#REF!*'Balanço de massa RSD'!X6</f>
        <v>#REF!</v>
      </c>
      <c r="Z11" s="154" t="e">
        <f>#REF!*'Balanço de massa RSD'!Y6</f>
        <v>#REF!</v>
      </c>
      <c r="AA11" s="154" t="e">
        <f>#REF!*'Balanço de massa RSD'!Z6</f>
        <v>#REF!</v>
      </c>
      <c r="AB11" s="154" t="e">
        <f>#REF!*'Balanço de massa RSD'!AA6</f>
        <v>#REF!</v>
      </c>
      <c r="AC11" s="2"/>
      <c r="AD11" s="2"/>
      <c r="AE11" s="2"/>
      <c r="AF11" s="2"/>
      <c r="AG11" s="2"/>
      <c r="AH11" s="152" t="s">
        <v>131</v>
      </c>
    </row>
    <row r="12" spans="1:34">
      <c r="A12" s="115" t="e">
        <f>D12/'Balanço de massa RSD'!$AQ$6</f>
        <v>#REF!</v>
      </c>
      <c r="B12" s="152" t="s">
        <v>82</v>
      </c>
      <c r="C12" s="153"/>
      <c r="D12" s="154" t="e">
        <f t="shared" si="3"/>
        <v>#REF!</v>
      </c>
      <c r="E12" s="153"/>
      <c r="F12" s="154" t="e">
        <f>#REF!*'Balanço de massa RSD'!F6</f>
        <v>#REF!</v>
      </c>
      <c r="G12" s="154" t="e">
        <f>#REF!*'Balanço de massa RSD'!F6</f>
        <v>#REF!</v>
      </c>
      <c r="H12" s="154" t="e">
        <f>#REF!*'Balanço de massa RSD'!G6</f>
        <v>#REF!</v>
      </c>
      <c r="I12" s="154" t="e">
        <f>#REF!*'Balanço de massa RSD'!H6</f>
        <v>#REF!</v>
      </c>
      <c r="J12" s="154" t="e">
        <f>#REF!*'Balanço de massa RSD'!I6</f>
        <v>#REF!</v>
      </c>
      <c r="K12" s="154" t="e">
        <f>#REF!*'Balanço de massa RSD'!J6</f>
        <v>#REF!</v>
      </c>
      <c r="L12" s="154" t="e">
        <f>#REF!*'Balanço de massa RSD'!K6</f>
        <v>#REF!</v>
      </c>
      <c r="M12" s="154" t="e">
        <f>#REF!*'Balanço de massa RSD'!L6</f>
        <v>#REF!</v>
      </c>
      <c r="N12" s="154" t="e">
        <f>#REF!*'Balanço de massa RSD'!M6</f>
        <v>#REF!</v>
      </c>
      <c r="O12" s="154" t="e">
        <f>#REF!*'Balanço de massa RSD'!N6</f>
        <v>#REF!</v>
      </c>
      <c r="P12" s="154" t="e">
        <f>#REF!*'Balanço de massa RSD'!O6</f>
        <v>#REF!</v>
      </c>
      <c r="Q12" s="154" t="e">
        <f>#REF!*'Balanço de massa RSD'!P6</f>
        <v>#REF!</v>
      </c>
      <c r="R12" s="154" t="e">
        <f>#REF!*'Balanço de massa RSD'!Q6</f>
        <v>#REF!</v>
      </c>
      <c r="S12" s="154" t="e">
        <f>#REF!*'Balanço de massa RSD'!R6</f>
        <v>#REF!</v>
      </c>
      <c r="T12" s="154" t="e">
        <f>#REF!*'Balanço de massa RSD'!S6</f>
        <v>#REF!</v>
      </c>
      <c r="U12" s="154" t="e">
        <f>#REF!*'Balanço de massa RSD'!T6</f>
        <v>#REF!</v>
      </c>
      <c r="V12" s="154" t="e">
        <f>#REF!*'Balanço de massa RSD'!U6</f>
        <v>#REF!</v>
      </c>
      <c r="W12" s="154" t="e">
        <f>#REF!*'Balanço de massa RSD'!V6</f>
        <v>#REF!</v>
      </c>
      <c r="X12" s="154" t="e">
        <f>#REF!*'Balanço de massa RSD'!W6</f>
        <v>#REF!</v>
      </c>
      <c r="Y12" s="154" t="e">
        <f>#REF!*'Balanço de massa RSD'!X6</f>
        <v>#REF!</v>
      </c>
      <c r="Z12" s="154" t="e">
        <f>#REF!*'Balanço de massa RSD'!Y6</f>
        <v>#REF!</v>
      </c>
      <c r="AA12" s="154" t="e">
        <f>#REF!*'Balanço de massa RSD'!Z6</f>
        <v>#REF!</v>
      </c>
      <c r="AB12" s="154" t="e">
        <f>#REF!*'Balanço de massa RSD'!AA6</f>
        <v>#REF!</v>
      </c>
      <c r="AC12" s="2"/>
      <c r="AD12" s="115"/>
      <c r="AE12" s="2"/>
      <c r="AF12" s="2"/>
      <c r="AG12" s="2"/>
      <c r="AH12" s="152" t="s">
        <v>132</v>
      </c>
    </row>
    <row r="13" spans="1:34">
      <c r="A13" s="115" t="e">
        <f>D13/'Balanço de massa RSD'!$AQ$6</f>
        <v>#REF!</v>
      </c>
      <c r="B13" s="152" t="s">
        <v>132</v>
      </c>
      <c r="C13" s="155"/>
      <c r="D13" s="154" t="e">
        <f t="shared" si="3"/>
        <v>#REF!</v>
      </c>
      <c r="E13" s="155"/>
      <c r="F13" s="156" t="e">
        <f>#REF!*'Balanço de massa RSD'!F6</f>
        <v>#REF!</v>
      </c>
      <c r="G13" s="156" t="e">
        <f>#REF!*'Balanço de massa RSD'!F6</f>
        <v>#REF!</v>
      </c>
      <c r="H13" s="156" t="e">
        <f>#REF!*'Balanço de massa RSD'!G6</f>
        <v>#REF!</v>
      </c>
      <c r="I13" s="156" t="e">
        <f>#REF!*'Balanço de massa RSD'!H6</f>
        <v>#REF!</v>
      </c>
      <c r="J13" s="156" t="e">
        <f>#REF!*'Balanço de massa RSD'!I6</f>
        <v>#REF!</v>
      </c>
      <c r="K13" s="156" t="e">
        <f>#REF!*'Balanço de massa RSD'!J6</f>
        <v>#REF!</v>
      </c>
      <c r="L13" s="156" t="e">
        <f>#REF!*'Balanço de massa RSD'!K6</f>
        <v>#REF!</v>
      </c>
      <c r="M13" s="156" t="e">
        <f>#REF!*'Balanço de massa RSD'!L6</f>
        <v>#REF!</v>
      </c>
      <c r="N13" s="156" t="e">
        <f>#REF!*'Balanço de massa RSD'!M6</f>
        <v>#REF!</v>
      </c>
      <c r="O13" s="156" t="e">
        <f>#REF!*'Balanço de massa RSD'!N6</f>
        <v>#REF!</v>
      </c>
      <c r="P13" s="156" t="e">
        <f>#REF!*'Balanço de massa RSD'!O6</f>
        <v>#REF!</v>
      </c>
      <c r="Q13" s="156" t="e">
        <f>#REF!*'Balanço de massa RSD'!P6</f>
        <v>#REF!</v>
      </c>
      <c r="R13" s="156" t="e">
        <f>#REF!*'Balanço de massa RSD'!Q6</f>
        <v>#REF!</v>
      </c>
      <c r="S13" s="156" t="e">
        <f>#REF!*'Balanço de massa RSD'!R6</f>
        <v>#REF!</v>
      </c>
      <c r="T13" s="156" t="e">
        <f>#REF!*'Balanço de massa RSD'!S6</f>
        <v>#REF!</v>
      </c>
      <c r="U13" s="156" t="e">
        <f>#REF!*'Balanço de massa RSD'!T6</f>
        <v>#REF!</v>
      </c>
      <c r="V13" s="156" t="e">
        <f>#REF!*'Balanço de massa RSD'!U6</f>
        <v>#REF!</v>
      </c>
      <c r="W13" s="156" t="e">
        <f>#REF!*'Balanço de massa RSD'!V6</f>
        <v>#REF!</v>
      </c>
      <c r="X13" s="156" t="e">
        <f>#REF!*'Balanço de massa RSD'!W6</f>
        <v>#REF!</v>
      </c>
      <c r="Y13" s="156" t="e">
        <f>#REF!*'Balanço de massa RSD'!X6</f>
        <v>#REF!</v>
      </c>
      <c r="Z13" s="156" t="e">
        <f>#REF!*'Balanço de massa RSD'!Y6</f>
        <v>#REF!</v>
      </c>
      <c r="AA13" s="156" t="e">
        <f>#REF!*'Balanço de massa RSD'!Z6</f>
        <v>#REF!</v>
      </c>
      <c r="AB13" s="156" t="e">
        <f>#REF!*'Balanço de massa RSD'!AA6</f>
        <v>#REF!</v>
      </c>
      <c r="AC13" s="2"/>
      <c r="AD13" s="115"/>
      <c r="AE13" s="2"/>
      <c r="AF13" s="2"/>
      <c r="AG13" s="2"/>
      <c r="AH13" s="152" t="s">
        <v>78</v>
      </c>
    </row>
    <row r="14" spans="1:34">
      <c r="A14" s="115" t="e">
        <f>D14/'Balanço de massa RSD'!$AQ$6</f>
        <v>#REF!</v>
      </c>
      <c r="B14" s="152" t="s">
        <v>78</v>
      </c>
      <c r="C14" s="155"/>
      <c r="D14" s="154" t="e">
        <f t="shared" si="3"/>
        <v>#REF!</v>
      </c>
      <c r="E14" s="155"/>
      <c r="F14" s="156" t="e">
        <f>#REF!*'Balanço de massa RSD'!F6</f>
        <v>#REF!</v>
      </c>
      <c r="G14" s="156" t="e">
        <f>#REF!*'Balanço de massa RSD'!F6</f>
        <v>#REF!</v>
      </c>
      <c r="H14" s="156" t="e">
        <f>#REF!*'Balanço de massa RSD'!G6</f>
        <v>#REF!</v>
      </c>
      <c r="I14" s="156" t="e">
        <f>#REF!*'Balanço de massa RSD'!H6</f>
        <v>#REF!</v>
      </c>
      <c r="J14" s="156" t="e">
        <f>#REF!*'Balanço de massa RSD'!I6</f>
        <v>#REF!</v>
      </c>
      <c r="K14" s="156" t="e">
        <f>#REF!*'Balanço de massa RSD'!J6</f>
        <v>#REF!</v>
      </c>
      <c r="L14" s="156" t="e">
        <f>#REF!*'Balanço de massa RSD'!K6</f>
        <v>#REF!</v>
      </c>
      <c r="M14" s="156" t="e">
        <f>#REF!*'Balanço de massa RSD'!L6</f>
        <v>#REF!</v>
      </c>
      <c r="N14" s="156" t="e">
        <f>#REF!*'Balanço de massa RSD'!M6</f>
        <v>#REF!</v>
      </c>
      <c r="O14" s="156" t="e">
        <f>#REF!*'Balanço de massa RSD'!N6</f>
        <v>#REF!</v>
      </c>
      <c r="P14" s="156" t="e">
        <f>#REF!*'Balanço de massa RSD'!O6</f>
        <v>#REF!</v>
      </c>
      <c r="Q14" s="156" t="e">
        <f>#REF!*'Balanço de massa RSD'!P6</f>
        <v>#REF!</v>
      </c>
      <c r="R14" s="156" t="e">
        <f>#REF!*'Balanço de massa RSD'!Q6</f>
        <v>#REF!</v>
      </c>
      <c r="S14" s="156" t="e">
        <f>#REF!*'Balanço de massa RSD'!R6</f>
        <v>#REF!</v>
      </c>
      <c r="T14" s="156" t="e">
        <f>#REF!*'Balanço de massa RSD'!S6</f>
        <v>#REF!</v>
      </c>
      <c r="U14" s="156" t="e">
        <f>#REF!*'Balanço de massa RSD'!T6</f>
        <v>#REF!</v>
      </c>
      <c r="V14" s="156" t="e">
        <f>#REF!*'Balanço de massa RSD'!U6</f>
        <v>#REF!</v>
      </c>
      <c r="W14" s="156" t="e">
        <f>#REF!*'Balanço de massa RSD'!V6</f>
        <v>#REF!</v>
      </c>
      <c r="X14" s="156" t="e">
        <f>#REF!*'Balanço de massa RSD'!W6</f>
        <v>#REF!</v>
      </c>
      <c r="Y14" s="156" t="e">
        <f>#REF!*'Balanço de massa RSD'!X6</f>
        <v>#REF!</v>
      </c>
      <c r="Z14" s="156" t="e">
        <f>#REF!*'Balanço de massa RSD'!Y6</f>
        <v>#REF!</v>
      </c>
      <c r="AA14" s="156" t="e">
        <f>#REF!*'Balanço de massa RSD'!Z6</f>
        <v>#REF!</v>
      </c>
      <c r="AB14" s="156" t="e">
        <f>#REF!*'Balanço de massa RSD'!AA6</f>
        <v>#REF!</v>
      </c>
      <c r="AC14" s="2"/>
      <c r="AD14" s="115"/>
      <c r="AE14" s="2"/>
      <c r="AF14" s="2"/>
      <c r="AG14" s="2"/>
      <c r="AH14" s="157" t="s">
        <v>133</v>
      </c>
    </row>
    <row r="15" spans="1:34" ht="15.75" thickBot="1">
      <c r="A15" s="115" t="e">
        <f>D15/'Balanço de massa RSD'!$AQ$6</f>
        <v>#REF!</v>
      </c>
      <c r="B15" s="157" t="s">
        <v>79</v>
      </c>
      <c r="C15" s="155"/>
      <c r="D15" s="154" t="e">
        <f t="shared" si="3"/>
        <v>#REF!</v>
      </c>
      <c r="E15" s="155"/>
      <c r="F15" s="156" t="e">
        <f>#REF!*'Balanço de massa RSD'!F6</f>
        <v>#REF!</v>
      </c>
      <c r="G15" s="156" t="e">
        <f>#REF!*'Balanço de massa RSD'!F6</f>
        <v>#REF!</v>
      </c>
      <c r="H15" s="156" t="e">
        <f>#REF!*'Balanço de massa RSD'!G6</f>
        <v>#REF!</v>
      </c>
      <c r="I15" s="156" t="e">
        <f>#REF!*'Balanço de massa RSD'!H6</f>
        <v>#REF!</v>
      </c>
      <c r="J15" s="156" t="e">
        <f>#REF!*'Balanço de massa RSD'!I6</f>
        <v>#REF!</v>
      </c>
      <c r="K15" s="156" t="e">
        <f>#REF!*'Balanço de massa RSD'!J6</f>
        <v>#REF!</v>
      </c>
      <c r="L15" s="156" t="e">
        <f>#REF!*'Balanço de massa RSD'!K6</f>
        <v>#REF!</v>
      </c>
      <c r="M15" s="156" t="e">
        <f>#REF!*'Balanço de massa RSD'!L6</f>
        <v>#REF!</v>
      </c>
      <c r="N15" s="156" t="e">
        <f>#REF!*'Balanço de massa RSD'!M6</f>
        <v>#REF!</v>
      </c>
      <c r="O15" s="156" t="e">
        <f>#REF!*'Balanço de massa RSD'!N6</f>
        <v>#REF!</v>
      </c>
      <c r="P15" s="156" t="e">
        <f>#REF!*'Balanço de massa RSD'!O6</f>
        <v>#REF!</v>
      </c>
      <c r="Q15" s="156" t="e">
        <f>#REF!*'Balanço de massa RSD'!P6</f>
        <v>#REF!</v>
      </c>
      <c r="R15" s="156" t="e">
        <f>#REF!*'Balanço de massa RSD'!Q6</f>
        <v>#REF!</v>
      </c>
      <c r="S15" s="156" t="e">
        <f>#REF!*'Balanço de massa RSD'!R6</f>
        <v>#REF!</v>
      </c>
      <c r="T15" s="156" t="e">
        <f>#REF!*'Balanço de massa RSD'!S6</f>
        <v>#REF!</v>
      </c>
      <c r="U15" s="156" t="e">
        <f>#REF!*'Balanço de massa RSD'!T6</f>
        <v>#REF!</v>
      </c>
      <c r="V15" s="156" t="e">
        <f>#REF!*'Balanço de massa RSD'!U6</f>
        <v>#REF!</v>
      </c>
      <c r="W15" s="156" t="e">
        <f>#REF!*'Balanço de massa RSD'!V6</f>
        <v>#REF!</v>
      </c>
      <c r="X15" s="156" t="e">
        <f>#REF!*'Balanço de massa RSD'!W6</f>
        <v>#REF!</v>
      </c>
      <c r="Y15" s="156" t="e">
        <f>#REF!*'Balanço de massa RSD'!X6</f>
        <v>#REF!</v>
      </c>
      <c r="Z15" s="156" t="e">
        <f>#REF!*'Balanço de massa RSD'!Y6</f>
        <v>#REF!</v>
      </c>
      <c r="AA15" s="156" t="e">
        <f>#REF!*'Balanço de massa RSD'!Z6</f>
        <v>#REF!</v>
      </c>
      <c r="AB15" s="156" t="e">
        <f>#REF!*'Balanço de massa RSD'!AA6</f>
        <v>#REF!</v>
      </c>
      <c r="AC15" s="2"/>
      <c r="AD15" s="115"/>
      <c r="AE15" s="2"/>
      <c r="AF15" s="2"/>
      <c r="AG15" s="2"/>
      <c r="AH15" s="158"/>
    </row>
    <row r="16" spans="1:34" ht="15.75" thickBot="1">
      <c r="A16" s="115" t="e">
        <f>D16/'Balanço de massa RSD'!$AQ$6</f>
        <v>#REF!</v>
      </c>
      <c r="B16" s="158" t="s">
        <v>80</v>
      </c>
      <c r="C16" s="159"/>
      <c r="D16" s="160" t="e">
        <f t="shared" si="3"/>
        <v>#REF!</v>
      </c>
      <c r="E16" s="159"/>
      <c r="F16" s="160" t="e">
        <f>#REF!*'Balanço de massa RSD'!F6</f>
        <v>#REF!</v>
      </c>
      <c r="G16" s="160" t="e">
        <f>#REF!*'Balanço de massa RSD'!F6</f>
        <v>#REF!</v>
      </c>
      <c r="H16" s="160" t="e">
        <f>#REF!*'Balanço de massa RSD'!G6</f>
        <v>#REF!</v>
      </c>
      <c r="I16" s="160" t="e">
        <f>#REF!*'Balanço de massa RSD'!H6</f>
        <v>#REF!</v>
      </c>
      <c r="J16" s="160" t="e">
        <f>#REF!*'Balanço de massa RSD'!I6</f>
        <v>#REF!</v>
      </c>
      <c r="K16" s="160" t="e">
        <f>#REF!*'Balanço de massa RSD'!J6</f>
        <v>#REF!</v>
      </c>
      <c r="L16" s="160" t="e">
        <f>#REF!*'Balanço de massa RSD'!K6</f>
        <v>#REF!</v>
      </c>
      <c r="M16" s="160" t="e">
        <f>#REF!*'Balanço de massa RSD'!L6</f>
        <v>#REF!</v>
      </c>
      <c r="N16" s="160" t="e">
        <f>#REF!*'Balanço de massa RSD'!M6</f>
        <v>#REF!</v>
      </c>
      <c r="O16" s="160" t="e">
        <f>#REF!*'Balanço de massa RSD'!N6</f>
        <v>#REF!</v>
      </c>
      <c r="P16" s="160" t="e">
        <f>#REF!*'Balanço de massa RSD'!O6</f>
        <v>#REF!</v>
      </c>
      <c r="Q16" s="160" t="e">
        <f>#REF!*'Balanço de massa RSD'!P6</f>
        <v>#REF!</v>
      </c>
      <c r="R16" s="160" t="e">
        <f>#REF!*'Balanço de massa RSD'!Q6</f>
        <v>#REF!</v>
      </c>
      <c r="S16" s="160" t="e">
        <f>#REF!*'Balanço de massa RSD'!R6</f>
        <v>#REF!</v>
      </c>
      <c r="T16" s="160" t="e">
        <f>#REF!*'Balanço de massa RSD'!S6</f>
        <v>#REF!</v>
      </c>
      <c r="U16" s="160" t="e">
        <f>#REF!*'Balanço de massa RSD'!T6</f>
        <v>#REF!</v>
      </c>
      <c r="V16" s="160" t="e">
        <f>#REF!*'Balanço de massa RSD'!U6</f>
        <v>#REF!</v>
      </c>
      <c r="W16" s="160" t="e">
        <f>#REF!*'Balanço de massa RSD'!V6</f>
        <v>#REF!</v>
      </c>
      <c r="X16" s="160" t="e">
        <f>#REF!*'Balanço de massa RSD'!W6</f>
        <v>#REF!</v>
      </c>
      <c r="Y16" s="160" t="e">
        <f>#REF!*'Balanço de massa RSD'!X6</f>
        <v>#REF!</v>
      </c>
      <c r="Z16" s="160" t="e">
        <f>#REF!*'Balanço de massa RSD'!Y6</f>
        <v>#REF!</v>
      </c>
      <c r="AA16" s="160" t="e">
        <f>#REF!*'Balanço de massa RSD'!Z6</f>
        <v>#REF!</v>
      </c>
      <c r="AB16" s="160" t="e">
        <f>#REF!*'Balanço de massa RSD'!AA6</f>
        <v>#REF!</v>
      </c>
      <c r="AC16" s="2"/>
      <c r="AD16" s="2"/>
      <c r="AE16" s="2"/>
      <c r="AF16" s="2"/>
      <c r="AG16" s="2"/>
      <c r="AH16" s="2"/>
    </row>
    <row r="17" spans="1:34" ht="16.5" hidden="1" thickBot="1">
      <c r="A17" s="116"/>
      <c r="B17" s="145" t="s">
        <v>134</v>
      </c>
      <c r="C17" s="146"/>
      <c r="D17" s="147"/>
      <c r="E17" s="148"/>
      <c r="F17" s="149">
        <f>SUM(F18:F24)</f>
        <v>0</v>
      </c>
      <c r="G17" s="149">
        <f>SUM(G18:G24)</f>
        <v>0</v>
      </c>
      <c r="H17" s="149">
        <f>SUM(H18:H24)</f>
        <v>0</v>
      </c>
      <c r="I17" s="149">
        <f>SUM(I18:I24)</f>
        <v>0</v>
      </c>
      <c r="J17" s="149">
        <f t="shared" ref="J17:AB17" si="4">SUM(J18:J24)</f>
        <v>0</v>
      </c>
      <c r="K17" s="149">
        <f t="shared" si="4"/>
        <v>0</v>
      </c>
      <c r="L17" s="149">
        <f t="shared" si="4"/>
        <v>0</v>
      </c>
      <c r="M17" s="149">
        <f t="shared" si="4"/>
        <v>0</v>
      </c>
      <c r="N17" s="149">
        <f t="shared" si="4"/>
        <v>0</v>
      </c>
      <c r="O17" s="149">
        <f t="shared" si="4"/>
        <v>0</v>
      </c>
      <c r="P17" s="149">
        <f t="shared" si="4"/>
        <v>0</v>
      </c>
      <c r="Q17" s="149">
        <f t="shared" si="4"/>
        <v>0</v>
      </c>
      <c r="R17" s="149">
        <f t="shared" si="4"/>
        <v>0</v>
      </c>
      <c r="S17" s="149">
        <f t="shared" si="4"/>
        <v>0</v>
      </c>
      <c r="T17" s="149">
        <f t="shared" si="4"/>
        <v>0</v>
      </c>
      <c r="U17" s="149">
        <f t="shared" si="4"/>
        <v>0</v>
      </c>
      <c r="V17" s="149">
        <f t="shared" si="4"/>
        <v>0</v>
      </c>
      <c r="W17" s="149">
        <f t="shared" si="4"/>
        <v>0</v>
      </c>
      <c r="X17" s="149">
        <f t="shared" si="4"/>
        <v>0</v>
      </c>
      <c r="Y17" s="149">
        <f t="shared" si="4"/>
        <v>0</v>
      </c>
      <c r="Z17" s="149">
        <f t="shared" si="4"/>
        <v>0</v>
      </c>
      <c r="AA17" s="149">
        <f t="shared" si="4"/>
        <v>0</v>
      </c>
      <c r="AB17" s="149">
        <f t="shared" si="4"/>
        <v>0</v>
      </c>
      <c r="AC17" s="2"/>
      <c r="AD17" s="2"/>
      <c r="AE17" s="2"/>
      <c r="AF17" s="2"/>
      <c r="AG17" s="2"/>
      <c r="AH17" s="2"/>
    </row>
    <row r="18" spans="1:34" hidden="1">
      <c r="A18" s="115"/>
      <c r="B18" s="150" t="s">
        <v>75</v>
      </c>
      <c r="C18" s="106"/>
      <c r="D18" s="151"/>
      <c r="E18" s="106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2"/>
      <c r="AD18" s="2"/>
      <c r="AE18" s="2"/>
      <c r="AF18" s="2"/>
      <c r="AG18" s="2"/>
      <c r="AH18" s="2"/>
    </row>
    <row r="19" spans="1:34" hidden="1">
      <c r="A19" s="115"/>
      <c r="B19" s="152" t="s">
        <v>76</v>
      </c>
      <c r="C19" s="153"/>
      <c r="D19" s="154"/>
      <c r="E19" s="153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2"/>
      <c r="AD19" s="2"/>
      <c r="AE19" s="2"/>
      <c r="AF19" s="2"/>
      <c r="AG19" s="2"/>
      <c r="AH19" s="2"/>
    </row>
    <row r="20" spans="1:34" hidden="1">
      <c r="A20" s="115"/>
      <c r="B20" s="152" t="s">
        <v>77</v>
      </c>
      <c r="C20" s="153"/>
      <c r="D20" s="154"/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2"/>
      <c r="AD20" s="2"/>
      <c r="AE20" s="2"/>
      <c r="AF20" s="2"/>
      <c r="AG20" s="2"/>
      <c r="AH20" s="2"/>
    </row>
    <row r="21" spans="1:34" hidden="1">
      <c r="A21" s="115"/>
      <c r="B21" s="152" t="s">
        <v>82</v>
      </c>
      <c r="C21" s="153"/>
      <c r="D21" s="154"/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2"/>
      <c r="AD21" s="2"/>
      <c r="AE21" s="2"/>
      <c r="AF21" s="2"/>
      <c r="AG21" s="2"/>
      <c r="AH21" s="2"/>
    </row>
    <row r="22" spans="1:34" hidden="1">
      <c r="A22" s="115"/>
      <c r="B22" s="152" t="s">
        <v>132</v>
      </c>
      <c r="C22" s="155"/>
      <c r="D22" s="154"/>
      <c r="E22" s="155"/>
      <c r="F22" s="154"/>
      <c r="G22" s="156"/>
      <c r="H22" s="156"/>
      <c r="I22" s="156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2"/>
      <c r="AD22" s="2"/>
      <c r="AE22" s="2"/>
      <c r="AF22" s="2"/>
      <c r="AG22" s="2"/>
      <c r="AH22" s="2"/>
    </row>
    <row r="23" spans="1:34" hidden="1">
      <c r="A23" s="115"/>
      <c r="B23" s="152" t="s">
        <v>78</v>
      </c>
      <c r="C23" s="155"/>
      <c r="D23" s="154"/>
      <c r="E23" s="155"/>
      <c r="F23" s="154"/>
      <c r="G23" s="156"/>
      <c r="H23" s="156"/>
      <c r="I23" s="156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2"/>
      <c r="AD23" s="2"/>
      <c r="AE23" s="2"/>
      <c r="AF23" s="2"/>
      <c r="AG23" s="2"/>
      <c r="AH23" s="2"/>
    </row>
    <row r="24" spans="1:34" ht="15.75" hidden="1" thickBot="1">
      <c r="A24" s="115" t="e">
        <f>A15</f>
        <v>#REF!</v>
      </c>
      <c r="B24" s="157" t="s">
        <v>79</v>
      </c>
      <c r="C24" s="159"/>
      <c r="D24" s="161"/>
      <c r="E24" s="159"/>
      <c r="F24" s="154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2"/>
      <c r="AD24" s="2"/>
      <c r="AE24" s="2"/>
      <c r="AF24" s="2"/>
      <c r="AG24" s="2"/>
      <c r="AH24" s="2"/>
    </row>
    <row r="25" spans="1:34" ht="16.5" thickBot="1">
      <c r="A25" s="144"/>
      <c r="B25" s="145" t="s">
        <v>135</v>
      </c>
      <c r="C25" s="146"/>
      <c r="D25" s="147" t="e">
        <f t="shared" ref="D25:D35" si="5">SUM(F25:AB25)</f>
        <v>#REF!</v>
      </c>
      <c r="E25" s="148"/>
      <c r="F25" s="149" t="e">
        <f>SUM(F26:F30)</f>
        <v>#REF!</v>
      </c>
      <c r="G25" s="149" t="e">
        <f>SUM(G26:G30)</f>
        <v>#REF!</v>
      </c>
      <c r="H25" s="149" t="e">
        <f>SUM(H26:H30)</f>
        <v>#REF!</v>
      </c>
      <c r="I25" s="149" t="e">
        <f>SUM(I26:I30)</f>
        <v>#REF!</v>
      </c>
      <c r="J25" s="149" t="e">
        <f t="shared" ref="J25:AB25" si="6">SUM(J26:J30)</f>
        <v>#REF!</v>
      </c>
      <c r="K25" s="149" t="e">
        <f t="shared" si="6"/>
        <v>#REF!</v>
      </c>
      <c r="L25" s="149" t="e">
        <f t="shared" si="6"/>
        <v>#REF!</v>
      </c>
      <c r="M25" s="149" t="e">
        <f t="shared" si="6"/>
        <v>#REF!</v>
      </c>
      <c r="N25" s="149" t="e">
        <f t="shared" si="6"/>
        <v>#REF!</v>
      </c>
      <c r="O25" s="149" t="e">
        <f t="shared" si="6"/>
        <v>#REF!</v>
      </c>
      <c r="P25" s="149" t="e">
        <f t="shared" si="6"/>
        <v>#REF!</v>
      </c>
      <c r="Q25" s="149" t="e">
        <f t="shared" si="6"/>
        <v>#REF!</v>
      </c>
      <c r="R25" s="149" t="e">
        <f t="shared" si="6"/>
        <v>#REF!</v>
      </c>
      <c r="S25" s="149" t="e">
        <f t="shared" si="6"/>
        <v>#REF!</v>
      </c>
      <c r="T25" s="149" t="e">
        <f t="shared" si="6"/>
        <v>#REF!</v>
      </c>
      <c r="U25" s="149" t="e">
        <f t="shared" si="6"/>
        <v>#REF!</v>
      </c>
      <c r="V25" s="149" t="e">
        <f t="shared" si="6"/>
        <v>#REF!</v>
      </c>
      <c r="W25" s="149" t="e">
        <f t="shared" si="6"/>
        <v>#REF!</v>
      </c>
      <c r="X25" s="149" t="e">
        <f t="shared" si="6"/>
        <v>#REF!</v>
      </c>
      <c r="Y25" s="149" t="e">
        <f t="shared" si="6"/>
        <v>#REF!</v>
      </c>
      <c r="Z25" s="149" t="e">
        <f t="shared" si="6"/>
        <v>#REF!</v>
      </c>
      <c r="AA25" s="149" t="e">
        <f t="shared" si="6"/>
        <v>#REF!</v>
      </c>
      <c r="AB25" s="149" t="e">
        <f t="shared" si="6"/>
        <v>#REF!</v>
      </c>
      <c r="AC25" s="2"/>
      <c r="AD25" s="2"/>
      <c r="AE25" s="2"/>
      <c r="AF25" s="2"/>
      <c r="AG25" s="2"/>
      <c r="AH25" s="2"/>
    </row>
    <row r="26" spans="1:34">
      <c r="A26" s="115" t="e">
        <f>D26/'Balanço de massa RCC'!$AQ$6</f>
        <v>#REF!</v>
      </c>
      <c r="B26" s="150" t="s">
        <v>75</v>
      </c>
      <c r="C26" s="106"/>
      <c r="D26" s="151" t="e">
        <f t="shared" si="5"/>
        <v>#REF!</v>
      </c>
      <c r="E26" s="106"/>
      <c r="F26" s="151" t="e">
        <f>#REF!*'Balanço de massa RCC'!F6</f>
        <v>#REF!</v>
      </c>
      <c r="G26" s="151" t="e">
        <f>#REF!*'Balanço de massa RCC'!F6</f>
        <v>#REF!</v>
      </c>
      <c r="H26" s="151" t="e">
        <f>#REF!*'Balanço de massa RCC'!G6</f>
        <v>#REF!</v>
      </c>
      <c r="I26" s="151" t="e">
        <f>#REF!*'Balanço de massa RCC'!H6</f>
        <v>#REF!</v>
      </c>
      <c r="J26" s="151" t="e">
        <f>#REF!*'Balanço de massa RCC'!I6</f>
        <v>#REF!</v>
      </c>
      <c r="K26" s="151" t="e">
        <f>#REF!*'Balanço de massa RCC'!J6</f>
        <v>#REF!</v>
      </c>
      <c r="L26" s="151" t="e">
        <f>#REF!*'Balanço de massa RCC'!K6</f>
        <v>#REF!</v>
      </c>
      <c r="M26" s="151" t="e">
        <f>#REF!*'Balanço de massa RCC'!L6</f>
        <v>#REF!</v>
      </c>
      <c r="N26" s="151" t="e">
        <f>#REF!*'Balanço de massa RCC'!M6</f>
        <v>#REF!</v>
      </c>
      <c r="O26" s="151" t="e">
        <f>#REF!*'Balanço de massa RCC'!N6</f>
        <v>#REF!</v>
      </c>
      <c r="P26" s="151" t="e">
        <f>#REF!*'Balanço de massa RCC'!O6</f>
        <v>#REF!</v>
      </c>
      <c r="Q26" s="151" t="e">
        <f>#REF!*'Balanço de massa RCC'!P6</f>
        <v>#REF!</v>
      </c>
      <c r="R26" s="151" t="e">
        <f>#REF!*'Balanço de massa RCC'!Q6</f>
        <v>#REF!</v>
      </c>
      <c r="S26" s="151" t="e">
        <f>#REF!*'Balanço de massa RCC'!R6</f>
        <v>#REF!</v>
      </c>
      <c r="T26" s="151" t="e">
        <f>#REF!*'Balanço de massa RCC'!S6</f>
        <v>#REF!</v>
      </c>
      <c r="U26" s="151" t="e">
        <f>#REF!*'Balanço de massa RCC'!T6</f>
        <v>#REF!</v>
      </c>
      <c r="V26" s="151" t="e">
        <f>#REF!*'Balanço de massa RCC'!U6</f>
        <v>#REF!</v>
      </c>
      <c r="W26" s="151" t="e">
        <f>#REF!*'Balanço de massa RCC'!V6</f>
        <v>#REF!</v>
      </c>
      <c r="X26" s="151" t="e">
        <f>#REF!*'Balanço de massa RCC'!W6</f>
        <v>#REF!</v>
      </c>
      <c r="Y26" s="151" t="e">
        <f>#REF!*'Balanço de massa RCC'!X6</f>
        <v>#REF!</v>
      </c>
      <c r="Z26" s="151" t="e">
        <f>#REF!*'Balanço de massa RCC'!Y6</f>
        <v>#REF!</v>
      </c>
      <c r="AA26" s="151" t="e">
        <f>#REF!*'Balanço de massa RCC'!Z6</f>
        <v>#REF!</v>
      </c>
      <c r="AB26" s="151" t="e">
        <f>#REF!*'Balanço de massa RCC'!AA6</f>
        <v>#REF!</v>
      </c>
      <c r="AC26" s="2"/>
      <c r="AD26" s="2"/>
      <c r="AE26" s="2"/>
      <c r="AF26" s="2"/>
      <c r="AG26" s="2"/>
      <c r="AH26" s="2"/>
    </row>
    <row r="27" spans="1:34">
      <c r="A27" s="115" t="e">
        <f>D27/'Balanço de massa RCC'!$AQ$6</f>
        <v>#REF!</v>
      </c>
      <c r="B27" s="152" t="s">
        <v>76</v>
      </c>
      <c r="C27" s="153"/>
      <c r="D27" s="154" t="e">
        <f t="shared" si="5"/>
        <v>#REF!</v>
      </c>
      <c r="E27" s="153"/>
      <c r="F27" s="154" t="e">
        <f>#REF!*'Balanço de massa RCC'!F6</f>
        <v>#REF!</v>
      </c>
      <c r="G27" s="154" t="e">
        <f>#REF!*'Balanço de massa RCC'!F6</f>
        <v>#REF!</v>
      </c>
      <c r="H27" s="154" t="e">
        <f>#REF!*'Balanço de massa RCC'!G6</f>
        <v>#REF!</v>
      </c>
      <c r="I27" s="154" t="e">
        <f>#REF!*'Balanço de massa RCC'!H6</f>
        <v>#REF!</v>
      </c>
      <c r="J27" s="154" t="e">
        <f>#REF!*'Balanço de massa RCC'!I6</f>
        <v>#REF!</v>
      </c>
      <c r="K27" s="154" t="e">
        <f>#REF!*'Balanço de massa RCC'!J6</f>
        <v>#REF!</v>
      </c>
      <c r="L27" s="154" t="e">
        <f>#REF!*'Balanço de massa RCC'!K6</f>
        <v>#REF!</v>
      </c>
      <c r="M27" s="154" t="e">
        <f>#REF!*'Balanço de massa RCC'!L6</f>
        <v>#REF!</v>
      </c>
      <c r="N27" s="154" t="e">
        <f>#REF!*'Balanço de massa RCC'!M6</f>
        <v>#REF!</v>
      </c>
      <c r="O27" s="154" t="e">
        <f>#REF!*'Balanço de massa RCC'!N6</f>
        <v>#REF!</v>
      </c>
      <c r="P27" s="154" t="e">
        <f>#REF!*'Balanço de massa RCC'!O6</f>
        <v>#REF!</v>
      </c>
      <c r="Q27" s="154" t="e">
        <f>#REF!*'Balanço de massa RCC'!P6</f>
        <v>#REF!</v>
      </c>
      <c r="R27" s="154" t="e">
        <f>#REF!*'Balanço de massa RCC'!Q6</f>
        <v>#REF!</v>
      </c>
      <c r="S27" s="154" t="e">
        <f>#REF!*'Balanço de massa RCC'!R6</f>
        <v>#REF!</v>
      </c>
      <c r="T27" s="154" t="e">
        <f>#REF!*'Balanço de massa RCC'!S6</f>
        <v>#REF!</v>
      </c>
      <c r="U27" s="154" t="e">
        <f>#REF!*'Balanço de massa RCC'!T6</f>
        <v>#REF!</v>
      </c>
      <c r="V27" s="154" t="e">
        <f>#REF!*'Balanço de massa RCC'!U6</f>
        <v>#REF!</v>
      </c>
      <c r="W27" s="154" t="e">
        <f>#REF!*'Balanço de massa RCC'!V6</f>
        <v>#REF!</v>
      </c>
      <c r="X27" s="154" t="e">
        <f>#REF!*'Balanço de massa RCC'!W6</f>
        <v>#REF!</v>
      </c>
      <c r="Y27" s="154" t="e">
        <f>#REF!*'Balanço de massa RCC'!X6</f>
        <v>#REF!</v>
      </c>
      <c r="Z27" s="154" t="e">
        <f>#REF!*'Balanço de massa RCC'!Y6</f>
        <v>#REF!</v>
      </c>
      <c r="AA27" s="154" t="e">
        <f>#REF!*'Balanço de massa RCC'!Z6</f>
        <v>#REF!</v>
      </c>
      <c r="AB27" s="154" t="e">
        <f>#REF!*'Balanço de massa RCC'!AA6</f>
        <v>#REF!</v>
      </c>
      <c r="AC27" s="2"/>
      <c r="AD27" s="2"/>
      <c r="AE27" s="2"/>
      <c r="AF27" s="2"/>
      <c r="AG27" s="2"/>
      <c r="AH27" s="2"/>
    </row>
    <row r="28" spans="1:34">
      <c r="A28" s="115" t="e">
        <f>D28/'Balanço de massa RCC'!$AQ$6</f>
        <v>#REF!</v>
      </c>
      <c r="B28" s="152" t="s">
        <v>77</v>
      </c>
      <c r="C28" s="153"/>
      <c r="D28" s="154" t="e">
        <f t="shared" si="5"/>
        <v>#REF!</v>
      </c>
      <c r="E28" s="153"/>
      <c r="F28" s="154" t="e">
        <f>#REF!*'Balanço de massa RCC'!F6</f>
        <v>#REF!</v>
      </c>
      <c r="G28" s="154" t="e">
        <f>#REF!*'Balanço de massa RCC'!F6</f>
        <v>#REF!</v>
      </c>
      <c r="H28" s="154" t="e">
        <f>#REF!*'Balanço de massa RCC'!G6</f>
        <v>#REF!</v>
      </c>
      <c r="I28" s="154" t="e">
        <f>#REF!*'Balanço de massa RCC'!H6</f>
        <v>#REF!</v>
      </c>
      <c r="J28" s="154" t="e">
        <f>#REF!*'Balanço de massa RCC'!I6</f>
        <v>#REF!</v>
      </c>
      <c r="K28" s="154" t="e">
        <f>#REF!*'Balanço de massa RCC'!J6</f>
        <v>#REF!</v>
      </c>
      <c r="L28" s="154" t="e">
        <f>#REF!*'Balanço de massa RCC'!K6</f>
        <v>#REF!</v>
      </c>
      <c r="M28" s="154" t="e">
        <f>#REF!*'Balanço de massa RCC'!L6</f>
        <v>#REF!</v>
      </c>
      <c r="N28" s="154" t="e">
        <f>#REF!*'Balanço de massa RCC'!M6</f>
        <v>#REF!</v>
      </c>
      <c r="O28" s="154" t="e">
        <f>#REF!*'Balanço de massa RCC'!N6</f>
        <v>#REF!</v>
      </c>
      <c r="P28" s="154" t="e">
        <f>#REF!*'Balanço de massa RCC'!O6</f>
        <v>#REF!</v>
      </c>
      <c r="Q28" s="154" t="e">
        <f>#REF!*'Balanço de massa RCC'!P6</f>
        <v>#REF!</v>
      </c>
      <c r="R28" s="154" t="e">
        <f>#REF!*'Balanço de massa RCC'!Q6</f>
        <v>#REF!</v>
      </c>
      <c r="S28" s="154" t="e">
        <f>#REF!*'Balanço de massa RCC'!R6</f>
        <v>#REF!</v>
      </c>
      <c r="T28" s="154" t="e">
        <f>#REF!*'Balanço de massa RCC'!S6</f>
        <v>#REF!</v>
      </c>
      <c r="U28" s="154" t="e">
        <f>#REF!*'Balanço de massa RCC'!T6</f>
        <v>#REF!</v>
      </c>
      <c r="V28" s="154" t="e">
        <f>#REF!*'Balanço de massa RCC'!U6</f>
        <v>#REF!</v>
      </c>
      <c r="W28" s="154" t="e">
        <f>#REF!*'Balanço de massa RCC'!V6</f>
        <v>#REF!</v>
      </c>
      <c r="X28" s="154" t="e">
        <f>#REF!*'Balanço de massa RCC'!W6</f>
        <v>#REF!</v>
      </c>
      <c r="Y28" s="154" t="e">
        <f>#REF!*'Balanço de massa RCC'!X6</f>
        <v>#REF!</v>
      </c>
      <c r="Z28" s="154" t="e">
        <f>#REF!*'Balanço de massa RCC'!Y6</f>
        <v>#REF!</v>
      </c>
      <c r="AA28" s="154" t="e">
        <f>#REF!*'Balanço de massa RCC'!Z6</f>
        <v>#REF!</v>
      </c>
      <c r="AB28" s="154" t="e">
        <f>#REF!*'Balanço de massa RCC'!AA6</f>
        <v>#REF!</v>
      </c>
      <c r="AC28" s="2"/>
      <c r="AD28" s="2"/>
      <c r="AE28" s="2"/>
      <c r="AF28" s="2"/>
      <c r="AG28" s="2"/>
      <c r="AH28" s="2"/>
    </row>
    <row r="29" spans="1:34">
      <c r="A29" s="115" t="e">
        <f>D29/'Balanço de massa RCC'!$AQ$6</f>
        <v>#REF!</v>
      </c>
      <c r="B29" s="152" t="s">
        <v>82</v>
      </c>
      <c r="C29" s="153"/>
      <c r="D29" s="154" t="e">
        <f t="shared" si="5"/>
        <v>#REF!</v>
      </c>
      <c r="E29" s="153"/>
      <c r="F29" s="154" t="e">
        <f>#REF!*'Balanço de massa RCC'!F6</f>
        <v>#REF!</v>
      </c>
      <c r="G29" s="154" t="e">
        <f>#REF!*'Balanço de massa RCC'!F6</f>
        <v>#REF!</v>
      </c>
      <c r="H29" s="154" t="e">
        <f>#REF!*'Balanço de massa RCC'!G6</f>
        <v>#REF!</v>
      </c>
      <c r="I29" s="154" t="e">
        <f>#REF!*'Balanço de massa RCC'!H6</f>
        <v>#REF!</v>
      </c>
      <c r="J29" s="154" t="e">
        <f>#REF!*'Balanço de massa RCC'!I6</f>
        <v>#REF!</v>
      </c>
      <c r="K29" s="154" t="e">
        <f>#REF!*'Balanço de massa RCC'!J6</f>
        <v>#REF!</v>
      </c>
      <c r="L29" s="154" t="e">
        <f>#REF!*'Balanço de massa RCC'!K6</f>
        <v>#REF!</v>
      </c>
      <c r="M29" s="154" t="e">
        <f>#REF!*'Balanço de massa RCC'!L6</f>
        <v>#REF!</v>
      </c>
      <c r="N29" s="154" t="e">
        <f>#REF!*'Balanço de massa RCC'!M6</f>
        <v>#REF!</v>
      </c>
      <c r="O29" s="154" t="e">
        <f>#REF!*'Balanço de massa RCC'!N6</f>
        <v>#REF!</v>
      </c>
      <c r="P29" s="154" t="e">
        <f>#REF!*'Balanço de massa RCC'!O6</f>
        <v>#REF!</v>
      </c>
      <c r="Q29" s="154" t="e">
        <f>#REF!*'Balanço de massa RCC'!P6</f>
        <v>#REF!</v>
      </c>
      <c r="R29" s="154" t="e">
        <f>#REF!*'Balanço de massa RCC'!Q6</f>
        <v>#REF!</v>
      </c>
      <c r="S29" s="154" t="e">
        <f>#REF!*'Balanço de massa RCC'!R6</f>
        <v>#REF!</v>
      </c>
      <c r="T29" s="154" t="e">
        <f>#REF!*'Balanço de massa RCC'!S6</f>
        <v>#REF!</v>
      </c>
      <c r="U29" s="154" t="e">
        <f>#REF!*'Balanço de massa RCC'!T6</f>
        <v>#REF!</v>
      </c>
      <c r="V29" s="154" t="e">
        <f>#REF!*'Balanço de massa RCC'!U6</f>
        <v>#REF!</v>
      </c>
      <c r="W29" s="154" t="e">
        <f>#REF!*'Balanço de massa RCC'!V6</f>
        <v>#REF!</v>
      </c>
      <c r="X29" s="154" t="e">
        <f>#REF!*'Balanço de massa RCC'!W6</f>
        <v>#REF!</v>
      </c>
      <c r="Y29" s="154" t="e">
        <f>#REF!*'Balanço de massa RCC'!X6</f>
        <v>#REF!</v>
      </c>
      <c r="Z29" s="154" t="e">
        <f>#REF!*'Balanço de massa RCC'!Y6</f>
        <v>#REF!</v>
      </c>
      <c r="AA29" s="154" t="e">
        <f>#REF!*'Balanço de massa RCC'!Z6</f>
        <v>#REF!</v>
      </c>
      <c r="AB29" s="154" t="e">
        <f>#REF!*'Balanço de massa RCC'!AA6</f>
        <v>#REF!</v>
      </c>
      <c r="AC29" s="2"/>
      <c r="AD29" s="2"/>
      <c r="AE29" s="2"/>
      <c r="AF29" s="2"/>
      <c r="AG29" s="2"/>
      <c r="AH29" s="2"/>
    </row>
    <row r="30" spans="1:34" ht="15.75" thickBot="1">
      <c r="A30" s="115" t="e">
        <f>D30/'Balanço de massa RCC'!$AQ$6</f>
        <v>#REF!</v>
      </c>
      <c r="B30" s="152" t="s">
        <v>132</v>
      </c>
      <c r="C30" s="155"/>
      <c r="D30" s="154" t="e">
        <f t="shared" si="5"/>
        <v>#REF!</v>
      </c>
      <c r="E30" s="155"/>
      <c r="F30" s="154" t="e">
        <f>(#REF!+#REF!)*'Balanço de massa RCC'!F6</f>
        <v>#REF!</v>
      </c>
      <c r="G30" s="154" t="e">
        <f>(#REF!+#REF!)*'Balanço de massa RCC'!F6</f>
        <v>#REF!</v>
      </c>
      <c r="H30" s="154" t="e">
        <f>(#REF!+#REF!)*'Balanço de massa RCC'!G6</f>
        <v>#REF!</v>
      </c>
      <c r="I30" s="154" t="e">
        <f>(#REF!+#REF!)*'Balanço de massa RCC'!H6</f>
        <v>#REF!</v>
      </c>
      <c r="J30" s="154" t="e">
        <f>(#REF!+#REF!)*'Balanço de massa RCC'!I6</f>
        <v>#REF!</v>
      </c>
      <c r="K30" s="154" t="e">
        <f>(#REF!+#REF!)*'Balanço de massa RCC'!J6</f>
        <v>#REF!</v>
      </c>
      <c r="L30" s="154" t="e">
        <f>(#REF!+#REF!)*'Balanço de massa RCC'!K6</f>
        <v>#REF!</v>
      </c>
      <c r="M30" s="154" t="e">
        <f>(#REF!+#REF!)*'Balanço de massa RCC'!L6</f>
        <v>#REF!</v>
      </c>
      <c r="N30" s="154" t="e">
        <f>(#REF!+#REF!)*'Balanço de massa RCC'!M6</f>
        <v>#REF!</v>
      </c>
      <c r="O30" s="154" t="e">
        <f>(#REF!+#REF!)*'Balanço de massa RCC'!N6</f>
        <v>#REF!</v>
      </c>
      <c r="P30" s="154" t="e">
        <f>(#REF!+#REF!)*'Balanço de massa RCC'!O6</f>
        <v>#REF!</v>
      </c>
      <c r="Q30" s="154" t="e">
        <f>(#REF!+#REF!)*'Balanço de massa RCC'!P6</f>
        <v>#REF!</v>
      </c>
      <c r="R30" s="154" t="e">
        <f>(#REF!+#REF!)*'Balanço de massa RCC'!Q6</f>
        <v>#REF!</v>
      </c>
      <c r="S30" s="154" t="e">
        <f>(#REF!+#REF!)*'Balanço de massa RCC'!R6</f>
        <v>#REF!</v>
      </c>
      <c r="T30" s="154" t="e">
        <f>(#REF!+#REF!)*'Balanço de massa RCC'!S6</f>
        <v>#REF!</v>
      </c>
      <c r="U30" s="154" t="e">
        <f>(#REF!+#REF!)*'Balanço de massa RCC'!T6</f>
        <v>#REF!</v>
      </c>
      <c r="V30" s="154" t="e">
        <f>(#REF!+#REF!)*'Balanço de massa RCC'!U6</f>
        <v>#REF!</v>
      </c>
      <c r="W30" s="154" t="e">
        <f>(#REF!+#REF!)*'Balanço de massa RCC'!V6</f>
        <v>#REF!</v>
      </c>
      <c r="X30" s="154" t="e">
        <f>(#REF!+#REF!)*'Balanço de massa RCC'!W6</f>
        <v>#REF!</v>
      </c>
      <c r="Y30" s="154" t="e">
        <f>(#REF!+#REF!)*'Balanço de massa RCC'!X6</f>
        <v>#REF!</v>
      </c>
      <c r="Z30" s="154" t="e">
        <f>(#REF!+#REF!)*'Balanço de massa RCC'!Y6</f>
        <v>#REF!</v>
      </c>
      <c r="AA30" s="154" t="e">
        <f>(#REF!+#REF!)*'Balanço de massa RCC'!Z6</f>
        <v>#REF!</v>
      </c>
      <c r="AB30" s="154" t="e">
        <f>(#REF!+#REF!)*'Balanço de massa RCC'!AA6</f>
        <v>#REF!</v>
      </c>
      <c r="AC30" s="2"/>
      <c r="AD30" s="2"/>
      <c r="AE30" s="2"/>
      <c r="AF30" s="2"/>
      <c r="AG30" s="2"/>
      <c r="AH30" s="2"/>
    </row>
    <row r="31" spans="1:34" ht="16.5" thickBot="1">
      <c r="A31" s="144"/>
      <c r="B31" s="145" t="s">
        <v>136</v>
      </c>
      <c r="C31" s="146"/>
      <c r="D31" s="147" t="e">
        <f t="shared" si="5"/>
        <v>#REF!</v>
      </c>
      <c r="E31" s="148"/>
      <c r="F31" s="149">
        <f>SUM(F32:F35)</f>
        <v>0</v>
      </c>
      <c r="G31" s="149">
        <f>SUM(G32:G35)</f>
        <v>0</v>
      </c>
      <c r="H31" s="149">
        <f>SUM(H32:H35)</f>
        <v>0</v>
      </c>
      <c r="I31" s="149" t="e">
        <f>SUM(I32:I35)</f>
        <v>#REF!</v>
      </c>
      <c r="J31" s="149" t="e">
        <f t="shared" ref="J31:AB31" si="7">SUM(J32:J35)</f>
        <v>#REF!</v>
      </c>
      <c r="K31" s="149" t="e">
        <f t="shared" si="7"/>
        <v>#REF!</v>
      </c>
      <c r="L31" s="149" t="e">
        <f t="shared" si="7"/>
        <v>#REF!</v>
      </c>
      <c r="M31" s="149" t="e">
        <f t="shared" si="7"/>
        <v>#REF!</v>
      </c>
      <c r="N31" s="149" t="e">
        <f t="shared" si="7"/>
        <v>#REF!</v>
      </c>
      <c r="O31" s="149" t="e">
        <f t="shared" si="7"/>
        <v>#REF!</v>
      </c>
      <c r="P31" s="149" t="e">
        <f t="shared" si="7"/>
        <v>#REF!</v>
      </c>
      <c r="Q31" s="149" t="e">
        <f t="shared" si="7"/>
        <v>#REF!</v>
      </c>
      <c r="R31" s="149" t="e">
        <f t="shared" si="7"/>
        <v>#REF!</v>
      </c>
      <c r="S31" s="149" t="e">
        <f t="shared" si="7"/>
        <v>#REF!</v>
      </c>
      <c r="T31" s="149" t="e">
        <f t="shared" si="7"/>
        <v>#REF!</v>
      </c>
      <c r="U31" s="149" t="e">
        <f t="shared" si="7"/>
        <v>#REF!</v>
      </c>
      <c r="V31" s="149" t="e">
        <f t="shared" si="7"/>
        <v>#REF!</v>
      </c>
      <c r="W31" s="149" t="e">
        <f t="shared" si="7"/>
        <v>#REF!</v>
      </c>
      <c r="X31" s="149" t="e">
        <f t="shared" si="7"/>
        <v>#REF!</v>
      </c>
      <c r="Y31" s="149" t="e">
        <f t="shared" si="7"/>
        <v>#REF!</v>
      </c>
      <c r="Z31" s="149" t="e">
        <f t="shared" si="7"/>
        <v>#REF!</v>
      </c>
      <c r="AA31" s="149" t="e">
        <f t="shared" si="7"/>
        <v>#REF!</v>
      </c>
      <c r="AB31" s="149" t="e">
        <f t="shared" si="7"/>
        <v>#REF!</v>
      </c>
      <c r="AC31" s="2"/>
      <c r="AD31" s="2"/>
      <c r="AE31" s="2"/>
      <c r="AF31" s="2"/>
      <c r="AG31" s="2"/>
      <c r="AH31" s="2"/>
    </row>
    <row r="32" spans="1:34">
      <c r="A32" s="227">
        <f>'4.1 TRANSFERENCIA'!C26</f>
        <v>12.11</v>
      </c>
      <c r="B32" s="150" t="s">
        <v>137</v>
      </c>
      <c r="C32" s="106"/>
      <c r="D32" s="151" t="e">
        <f t="shared" si="5"/>
        <v>#REF!</v>
      </c>
      <c r="E32" s="106"/>
      <c r="F32" s="151">
        <f>('Balanço de massa RSD'!F80+'Balanço de massa RVV'!F76+'Balanço de massa RCC'!F90)*$A$32</f>
        <v>0</v>
      </c>
      <c r="G32" s="151">
        <f>('Balanço de massa RSD'!F80+'Balanço de massa RVV'!F76+'Balanço de massa RCC'!F90)*$A$32</f>
        <v>0</v>
      </c>
      <c r="H32" s="151">
        <f>('Balanço de massa RSD'!G80+'Balanço de massa RVV'!G76+'Balanço de massa RCC'!G90)*$A$32</f>
        <v>0</v>
      </c>
      <c r="I32" s="151" t="e">
        <f>('Balanço de massa RSD'!H80+'Balanço de massa RVV'!H76+'Balanço de massa RCC'!H90)*$A$32</f>
        <v>#REF!</v>
      </c>
      <c r="J32" s="151" t="e">
        <f>('Balanço de massa RSD'!I80+'Balanço de massa RVV'!I76+'Balanço de massa RCC'!I90)*$A$32</f>
        <v>#REF!</v>
      </c>
      <c r="K32" s="151" t="e">
        <f>('Balanço de massa RSD'!J80+'Balanço de massa RVV'!J76+'Balanço de massa RCC'!J90)*$A$32</f>
        <v>#REF!</v>
      </c>
      <c r="L32" s="151" t="e">
        <f>('Balanço de massa RSD'!K80+'Balanço de massa RVV'!K76+'Balanço de massa RCC'!K90)*$A$32</f>
        <v>#REF!</v>
      </c>
      <c r="M32" s="151" t="e">
        <f>('Balanço de massa RSD'!L80+'Balanço de massa RVV'!L76+'Balanço de massa RCC'!L90)*$A$32</f>
        <v>#REF!</v>
      </c>
      <c r="N32" s="151" t="e">
        <f>('Balanço de massa RSD'!M80+'Balanço de massa RVV'!M76+'Balanço de massa RCC'!M90)*$A$32</f>
        <v>#REF!</v>
      </c>
      <c r="O32" s="151" t="e">
        <f>('Balanço de massa RSD'!N80+'Balanço de massa RVV'!N76+'Balanço de massa RCC'!N90)*$A$32</f>
        <v>#REF!</v>
      </c>
      <c r="P32" s="151" t="e">
        <f>('Balanço de massa RSD'!O80+'Balanço de massa RVV'!O76+'Balanço de massa RCC'!O90)*$A$32</f>
        <v>#REF!</v>
      </c>
      <c r="Q32" s="151" t="e">
        <f>('Balanço de massa RSD'!P80+'Balanço de massa RVV'!P76+'Balanço de massa RCC'!P90)*$A$32</f>
        <v>#REF!</v>
      </c>
      <c r="R32" s="151" t="e">
        <f>('Balanço de massa RSD'!Q80+'Balanço de massa RVV'!Q76+'Balanço de massa RCC'!Q90)*$A$32</f>
        <v>#REF!</v>
      </c>
      <c r="S32" s="151" t="e">
        <f>('Balanço de massa RSD'!R80+'Balanço de massa RVV'!R76+'Balanço de massa RCC'!R90)*$A$32</f>
        <v>#REF!</v>
      </c>
      <c r="T32" s="151" t="e">
        <f>('Balanço de massa RSD'!S80+'Balanço de massa RVV'!S76+'Balanço de massa RCC'!S90)*$A$32</f>
        <v>#REF!</v>
      </c>
      <c r="U32" s="151" t="e">
        <f>('Balanço de massa RSD'!T80+'Balanço de massa RVV'!T76+'Balanço de massa RCC'!T90)*$A$32</f>
        <v>#REF!</v>
      </c>
      <c r="V32" s="151" t="e">
        <f>('Balanço de massa RSD'!U80+'Balanço de massa RVV'!U76+'Balanço de massa RCC'!U90)*$A$32</f>
        <v>#REF!</v>
      </c>
      <c r="W32" s="151" t="e">
        <f>('Balanço de massa RSD'!V80+'Balanço de massa RVV'!V76+'Balanço de massa RCC'!V90)*$A$32</f>
        <v>#REF!</v>
      </c>
      <c r="X32" s="151" t="e">
        <f>('Balanço de massa RSD'!W80+'Balanço de massa RVV'!W76+'Balanço de massa RCC'!W90)*$A$32</f>
        <v>#REF!</v>
      </c>
      <c r="Y32" s="151" t="e">
        <f>('Balanço de massa RSD'!X80+'Balanço de massa RVV'!X76+'Balanço de massa RCC'!X90)*$A$32</f>
        <v>#REF!</v>
      </c>
      <c r="Z32" s="151" t="e">
        <f>('Balanço de massa RSD'!Y80+'Balanço de massa RVV'!Y76+'Balanço de massa RCC'!Y90)*$A$32</f>
        <v>#REF!</v>
      </c>
      <c r="AA32" s="151" t="e">
        <f>('Balanço de massa RSD'!Z80+'Balanço de massa RVV'!Z76+'Balanço de massa RCC'!Z90)*$A$32</f>
        <v>#REF!</v>
      </c>
      <c r="AB32" s="151" t="e">
        <f>('Balanço de massa RSD'!AA80+'Balanço de massa RVV'!AA76+'Balanço de massa RCC'!AA90)*$A$32</f>
        <v>#REF!</v>
      </c>
      <c r="AC32" s="2"/>
      <c r="AD32" s="2"/>
      <c r="AE32" s="2"/>
      <c r="AF32" s="2"/>
      <c r="AG32" s="2"/>
      <c r="AH32" s="2"/>
    </row>
    <row r="33" spans="1:34">
      <c r="A33" s="227">
        <f>'4.1 TRANSFERENCIA'!C24+'4.1 TRANSFERENCIA'!C25</f>
        <v>101.92</v>
      </c>
      <c r="B33" s="152" t="s">
        <v>138</v>
      </c>
      <c r="C33" s="153"/>
      <c r="D33" s="154" t="e">
        <f t="shared" si="5"/>
        <v>#REF!</v>
      </c>
      <c r="E33" s="153"/>
      <c r="F33" s="154">
        <f>'Balanço de massa RSD'!F80*$A$33</f>
        <v>0</v>
      </c>
      <c r="G33" s="154">
        <f>'Balanço de massa RSD'!F80*$A$33</f>
        <v>0</v>
      </c>
      <c r="H33" s="154">
        <f>'Balanço de massa RSD'!G80*$A$33</f>
        <v>0</v>
      </c>
      <c r="I33" s="154" t="e">
        <f>'Balanço de massa RSD'!H80*$A$33</f>
        <v>#REF!</v>
      </c>
      <c r="J33" s="154" t="e">
        <f>'Balanço de massa RSD'!I80*$A$33</f>
        <v>#REF!</v>
      </c>
      <c r="K33" s="154" t="e">
        <f>'Balanço de massa RSD'!J80*$A$33</f>
        <v>#REF!</v>
      </c>
      <c r="L33" s="154" t="e">
        <f>'Balanço de massa RSD'!K80*$A$33</f>
        <v>#REF!</v>
      </c>
      <c r="M33" s="154" t="e">
        <f>'Balanço de massa RSD'!L80*$A$33</f>
        <v>#REF!</v>
      </c>
      <c r="N33" s="154" t="e">
        <f>'Balanço de massa RSD'!M80*$A$33</f>
        <v>#REF!</v>
      </c>
      <c r="O33" s="154" t="e">
        <f>'Balanço de massa RSD'!N80*$A$33</f>
        <v>#REF!</v>
      </c>
      <c r="P33" s="154" t="e">
        <f>'Balanço de massa RSD'!O80*$A$33</f>
        <v>#REF!</v>
      </c>
      <c r="Q33" s="154" t="e">
        <f>'Balanço de massa RSD'!P80*$A$33</f>
        <v>#REF!</v>
      </c>
      <c r="R33" s="154" t="e">
        <f>'Balanço de massa RSD'!Q80*$A$33</f>
        <v>#REF!</v>
      </c>
      <c r="S33" s="154" t="e">
        <f>'Balanço de massa RSD'!R80*$A$33</f>
        <v>#REF!</v>
      </c>
      <c r="T33" s="154" t="e">
        <f>'Balanço de massa RSD'!S80*$A$33</f>
        <v>#REF!</v>
      </c>
      <c r="U33" s="154" t="e">
        <f>'Balanço de massa RSD'!T80*$A$33</f>
        <v>#REF!</v>
      </c>
      <c r="V33" s="154" t="e">
        <f>'Balanço de massa RSD'!U80*$A$33</f>
        <v>#REF!</v>
      </c>
      <c r="W33" s="154" t="e">
        <f>'Balanço de massa RSD'!V80*$A$33</f>
        <v>#REF!</v>
      </c>
      <c r="X33" s="154" t="e">
        <f>'Balanço de massa RSD'!W80*$A$33</f>
        <v>#REF!</v>
      </c>
      <c r="Y33" s="154" t="e">
        <f>'Balanço de massa RSD'!X80*$A$33</f>
        <v>#REF!</v>
      </c>
      <c r="Z33" s="154" t="e">
        <f>'Balanço de massa RSD'!Y80*$A$33</f>
        <v>#REF!</v>
      </c>
      <c r="AA33" s="154" t="e">
        <f>'Balanço de massa RSD'!Z80*$A$33</f>
        <v>#REF!</v>
      </c>
      <c r="AB33" s="154" t="e">
        <f>'Balanço de massa RSD'!AA80*$A$33</f>
        <v>#REF!</v>
      </c>
      <c r="AC33" s="2"/>
      <c r="AD33" s="2"/>
      <c r="AE33" s="2"/>
      <c r="AF33" s="2"/>
      <c r="AG33" s="2"/>
      <c r="AH33" s="2"/>
    </row>
    <row r="34" spans="1:34">
      <c r="A34" s="227">
        <f>'4.1 TRANSFERENCIA'!C24+'4.1 TRANSFERENCIA'!C25</f>
        <v>101.92</v>
      </c>
      <c r="B34" s="152" t="s">
        <v>139</v>
      </c>
      <c r="C34" s="153"/>
      <c r="D34" s="154" t="e">
        <f t="shared" si="5"/>
        <v>#REF!</v>
      </c>
      <c r="E34" s="153"/>
      <c r="F34" s="154">
        <f>'Balanço de massa RVV'!F76*$A$34</f>
        <v>0</v>
      </c>
      <c r="G34" s="154">
        <f>'Balanço de massa RVV'!F76*$A$34</f>
        <v>0</v>
      </c>
      <c r="H34" s="154">
        <f>'Balanço de massa RVV'!G76*$A$34</f>
        <v>0</v>
      </c>
      <c r="I34" s="154" t="e">
        <f>'Balanço de massa RVV'!H76*$A$34</f>
        <v>#REF!</v>
      </c>
      <c r="J34" s="154" t="e">
        <f>'Balanço de massa RVV'!I76*$A$34</f>
        <v>#REF!</v>
      </c>
      <c r="K34" s="154" t="e">
        <f>'Balanço de massa RVV'!J76*$A$34</f>
        <v>#REF!</v>
      </c>
      <c r="L34" s="154" t="e">
        <f>'Balanço de massa RVV'!K76*$A$34</f>
        <v>#REF!</v>
      </c>
      <c r="M34" s="154" t="e">
        <f>'Balanço de massa RVV'!L76*$A$34</f>
        <v>#REF!</v>
      </c>
      <c r="N34" s="154" t="e">
        <f>'Balanço de massa RVV'!M76*$A$34</f>
        <v>#REF!</v>
      </c>
      <c r="O34" s="154" t="e">
        <f>'Balanço de massa RVV'!N76*$A$34</f>
        <v>#REF!</v>
      </c>
      <c r="P34" s="154" t="e">
        <f>'Balanço de massa RVV'!O76*$A$34</f>
        <v>#REF!</v>
      </c>
      <c r="Q34" s="154" t="e">
        <f>'Balanço de massa RVV'!P76*$A$34</f>
        <v>#REF!</v>
      </c>
      <c r="R34" s="154" t="e">
        <f>'Balanço de massa RVV'!Q76*$A$34</f>
        <v>#REF!</v>
      </c>
      <c r="S34" s="154" t="e">
        <f>'Balanço de massa RVV'!R76*$A$34</f>
        <v>#REF!</v>
      </c>
      <c r="T34" s="154" t="e">
        <f>'Balanço de massa RVV'!S76*$A$34</f>
        <v>#REF!</v>
      </c>
      <c r="U34" s="154" t="e">
        <f>'Balanço de massa RVV'!T76*$A$34</f>
        <v>#REF!</v>
      </c>
      <c r="V34" s="154" t="e">
        <f>'Balanço de massa RVV'!U76*$A$34</f>
        <v>#REF!</v>
      </c>
      <c r="W34" s="154" t="e">
        <f>'Balanço de massa RVV'!V76*$A$34</f>
        <v>#REF!</v>
      </c>
      <c r="X34" s="154" t="e">
        <f>'Balanço de massa RVV'!W76*$A$34</f>
        <v>#REF!</v>
      </c>
      <c r="Y34" s="154" t="e">
        <f>'Balanço de massa RVV'!X76*$A$34</f>
        <v>#REF!</v>
      </c>
      <c r="Z34" s="154" t="e">
        <f>'Balanço de massa RVV'!Y76*$A$34</f>
        <v>#REF!</v>
      </c>
      <c r="AA34" s="154" t="e">
        <f>'Balanço de massa RVV'!Z76*$A$34</f>
        <v>#REF!</v>
      </c>
      <c r="AB34" s="154" t="e">
        <f>'Balanço de massa RVV'!AA76*$A$34</f>
        <v>#REF!</v>
      </c>
      <c r="AC34" s="2"/>
      <c r="AD34" s="2"/>
      <c r="AE34" s="2"/>
      <c r="AF34" s="2"/>
      <c r="AG34" s="2"/>
      <c r="AH34" s="2"/>
    </row>
    <row r="35" spans="1:34" ht="15.75" thickBot="1">
      <c r="A35" s="227">
        <f>'4.1 TRANSFERENCIA'!C24+'4.1 TRANSFERENCIA'!C25</f>
        <v>101.92</v>
      </c>
      <c r="B35" s="158" t="s">
        <v>140</v>
      </c>
      <c r="C35" s="159"/>
      <c r="D35" s="160" t="e">
        <f t="shared" si="5"/>
        <v>#REF!</v>
      </c>
      <c r="E35" s="159"/>
      <c r="F35" s="160">
        <f>'Balanço de massa RCC'!F90*$A$35</f>
        <v>0</v>
      </c>
      <c r="G35" s="160">
        <f>'Balanço de massa RCC'!F90*$A$35</f>
        <v>0</v>
      </c>
      <c r="H35" s="160">
        <f>'Balanço de massa RCC'!G90*$A$35</f>
        <v>0</v>
      </c>
      <c r="I35" s="160" t="e">
        <f>'Balanço de massa RCC'!H90*$A$35</f>
        <v>#REF!</v>
      </c>
      <c r="J35" s="160" t="e">
        <f>'Balanço de massa RCC'!I90*$A$35</f>
        <v>#REF!</v>
      </c>
      <c r="K35" s="160" t="e">
        <f>'Balanço de massa RCC'!J90*$A$35</f>
        <v>#REF!</v>
      </c>
      <c r="L35" s="160" t="e">
        <f>'Balanço de massa RCC'!K90*$A$35</f>
        <v>#REF!</v>
      </c>
      <c r="M35" s="160" t="e">
        <f>'Balanço de massa RCC'!L90*$A$35</f>
        <v>#REF!</v>
      </c>
      <c r="N35" s="160" t="e">
        <f>'Balanço de massa RCC'!M90*$A$35</f>
        <v>#REF!</v>
      </c>
      <c r="O35" s="160" t="e">
        <f>'Balanço de massa RCC'!N90*$A$35</f>
        <v>#REF!</v>
      </c>
      <c r="P35" s="160" t="e">
        <f>'Balanço de massa RCC'!O90*$A$35</f>
        <v>#REF!</v>
      </c>
      <c r="Q35" s="160" t="e">
        <f>'Balanço de massa RCC'!P90*$A$35</f>
        <v>#REF!</v>
      </c>
      <c r="R35" s="160" t="e">
        <f>'Balanço de massa RCC'!Q90*$A$35</f>
        <v>#REF!</v>
      </c>
      <c r="S35" s="160" t="e">
        <f>'Balanço de massa RCC'!R90*$A$35</f>
        <v>#REF!</v>
      </c>
      <c r="T35" s="160" t="e">
        <f>'Balanço de massa RCC'!S90*$A$35</f>
        <v>#REF!</v>
      </c>
      <c r="U35" s="160" t="e">
        <f>'Balanço de massa RCC'!T90*$A$35</f>
        <v>#REF!</v>
      </c>
      <c r="V35" s="160" t="e">
        <f>'Balanço de massa RCC'!U90*$A$35</f>
        <v>#REF!</v>
      </c>
      <c r="W35" s="160" t="e">
        <f>'Balanço de massa RCC'!V90*$A$35</f>
        <v>#REF!</v>
      </c>
      <c r="X35" s="160" t="e">
        <f>'Balanço de massa RCC'!W90*$A$35</f>
        <v>#REF!</v>
      </c>
      <c r="Y35" s="160" t="e">
        <f>'Balanço de massa RCC'!X90*$A$35</f>
        <v>#REF!</v>
      </c>
      <c r="Z35" s="160" t="e">
        <f>'Balanço de massa RCC'!Y90*$A$35</f>
        <v>#REF!</v>
      </c>
      <c r="AA35" s="160" t="e">
        <f>'Balanço de massa RCC'!Z90*$A$35</f>
        <v>#REF!</v>
      </c>
      <c r="AB35" s="160" t="e">
        <f>'Balanço de massa RCC'!AA90*$A$35</f>
        <v>#REF!</v>
      </c>
      <c r="AC35" s="2"/>
      <c r="AD35" s="2"/>
      <c r="AE35" s="2"/>
      <c r="AF35" s="2"/>
      <c r="AG35" s="2"/>
      <c r="AH35" s="2"/>
    </row>
    <row r="36" spans="1:34" ht="15.75" thickBot="1">
      <c r="A36" s="2"/>
      <c r="B36" s="100"/>
      <c r="C36" s="2"/>
      <c r="D36" s="105"/>
      <c r="E36" s="2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2"/>
      <c r="AD36" s="2"/>
      <c r="AE36" s="2"/>
      <c r="AF36" s="2"/>
      <c r="AG36" s="2"/>
      <c r="AH36" s="2"/>
    </row>
    <row r="37" spans="1:34" ht="19.5" thickBot="1">
      <c r="A37" s="2"/>
      <c r="B37" s="101" t="s">
        <v>141</v>
      </c>
      <c r="C37" s="102"/>
      <c r="D37" s="103" t="e">
        <f>SUM(D39,D45)</f>
        <v>#REF!</v>
      </c>
      <c r="E37" s="102"/>
      <c r="F37" s="103" t="e">
        <f>SUM(F39,F45)</f>
        <v>#REF!</v>
      </c>
      <c r="G37" s="103" t="e">
        <f t="shared" ref="G37:AB37" si="8">SUM(G39,G45)</f>
        <v>#REF!</v>
      </c>
      <c r="H37" s="103" t="e">
        <f t="shared" si="8"/>
        <v>#REF!</v>
      </c>
      <c r="I37" s="103" t="e">
        <f t="shared" si="8"/>
        <v>#REF!</v>
      </c>
      <c r="J37" s="103" t="e">
        <f t="shared" si="8"/>
        <v>#REF!</v>
      </c>
      <c r="K37" s="103" t="e">
        <f t="shared" si="8"/>
        <v>#REF!</v>
      </c>
      <c r="L37" s="103" t="e">
        <f t="shared" si="8"/>
        <v>#REF!</v>
      </c>
      <c r="M37" s="103" t="e">
        <f t="shared" si="8"/>
        <v>#REF!</v>
      </c>
      <c r="N37" s="103" t="e">
        <f t="shared" si="8"/>
        <v>#REF!</v>
      </c>
      <c r="O37" s="103" t="e">
        <f t="shared" si="8"/>
        <v>#REF!</v>
      </c>
      <c r="P37" s="103" t="e">
        <f t="shared" si="8"/>
        <v>#REF!</v>
      </c>
      <c r="Q37" s="103" t="e">
        <f t="shared" si="8"/>
        <v>#REF!</v>
      </c>
      <c r="R37" s="103" t="e">
        <f t="shared" si="8"/>
        <v>#REF!</v>
      </c>
      <c r="S37" s="103" t="e">
        <f t="shared" si="8"/>
        <v>#REF!</v>
      </c>
      <c r="T37" s="103" t="e">
        <f t="shared" si="8"/>
        <v>#REF!</v>
      </c>
      <c r="U37" s="103" t="e">
        <f t="shared" si="8"/>
        <v>#REF!</v>
      </c>
      <c r="V37" s="103" t="e">
        <f t="shared" si="8"/>
        <v>#REF!</v>
      </c>
      <c r="W37" s="103" t="e">
        <f t="shared" si="8"/>
        <v>#REF!</v>
      </c>
      <c r="X37" s="103" t="e">
        <f t="shared" si="8"/>
        <v>#REF!</v>
      </c>
      <c r="Y37" s="103" t="e">
        <f t="shared" si="8"/>
        <v>#REF!</v>
      </c>
      <c r="Z37" s="103" t="e">
        <f t="shared" si="8"/>
        <v>#REF!</v>
      </c>
      <c r="AA37" s="103" t="e">
        <f t="shared" si="8"/>
        <v>#REF!</v>
      </c>
      <c r="AB37" s="103" t="e">
        <f t="shared" si="8"/>
        <v>#REF!</v>
      </c>
      <c r="AC37" s="2"/>
      <c r="AD37" s="2"/>
      <c r="AE37" s="2"/>
      <c r="AF37" s="2"/>
      <c r="AG37" s="2"/>
      <c r="AH37" s="2"/>
    </row>
    <row r="38" spans="1:34" ht="16.5" thickTop="1" thickBot="1">
      <c r="A38" s="2"/>
      <c r="B38" s="1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6.5" thickBot="1">
      <c r="A39" s="116"/>
      <c r="B39" s="145" t="s">
        <v>142</v>
      </c>
      <c r="C39" s="146"/>
      <c r="D39" s="147" t="e">
        <f>SUM(D40:D44)</f>
        <v>#REF!</v>
      </c>
      <c r="E39" s="148"/>
      <c r="F39" s="149" t="e">
        <f>SUM(F40:F44)</f>
        <v>#REF!</v>
      </c>
      <c r="G39" s="149" t="e">
        <f t="shared" ref="G39:AB39" si="9">SUM(G40:G44)</f>
        <v>#REF!</v>
      </c>
      <c r="H39" s="149" t="e">
        <f t="shared" si="9"/>
        <v>#REF!</v>
      </c>
      <c r="I39" s="149" t="e">
        <f t="shared" si="9"/>
        <v>#REF!</v>
      </c>
      <c r="J39" s="149" t="e">
        <f t="shared" si="9"/>
        <v>#REF!</v>
      </c>
      <c r="K39" s="149" t="e">
        <f t="shared" si="9"/>
        <v>#REF!</v>
      </c>
      <c r="L39" s="149" t="e">
        <f t="shared" si="9"/>
        <v>#REF!</v>
      </c>
      <c r="M39" s="149" t="e">
        <f t="shared" si="9"/>
        <v>#REF!</v>
      </c>
      <c r="N39" s="149" t="e">
        <f t="shared" si="9"/>
        <v>#REF!</v>
      </c>
      <c r="O39" s="149" t="e">
        <f t="shared" si="9"/>
        <v>#REF!</v>
      </c>
      <c r="P39" s="149" t="e">
        <f t="shared" si="9"/>
        <v>#REF!</v>
      </c>
      <c r="Q39" s="149" t="e">
        <f t="shared" si="9"/>
        <v>#REF!</v>
      </c>
      <c r="R39" s="149" t="e">
        <f t="shared" si="9"/>
        <v>#REF!</v>
      </c>
      <c r="S39" s="149" t="e">
        <f t="shared" si="9"/>
        <v>#REF!</v>
      </c>
      <c r="T39" s="149" t="e">
        <f t="shared" si="9"/>
        <v>#REF!</v>
      </c>
      <c r="U39" s="149" t="e">
        <f t="shared" si="9"/>
        <v>#REF!</v>
      </c>
      <c r="V39" s="149" t="e">
        <f t="shared" si="9"/>
        <v>#REF!</v>
      </c>
      <c r="W39" s="149" t="e">
        <f t="shared" si="9"/>
        <v>#REF!</v>
      </c>
      <c r="X39" s="149" t="e">
        <f t="shared" si="9"/>
        <v>#REF!</v>
      </c>
      <c r="Y39" s="149" t="e">
        <f t="shared" si="9"/>
        <v>#REF!</v>
      </c>
      <c r="Z39" s="149" t="e">
        <f t="shared" si="9"/>
        <v>#REF!</v>
      </c>
      <c r="AA39" s="149" t="e">
        <f t="shared" si="9"/>
        <v>#REF!</v>
      </c>
      <c r="AB39" s="149" t="e">
        <f t="shared" si="9"/>
        <v>#REF!</v>
      </c>
      <c r="AC39" s="2"/>
      <c r="AD39" s="2"/>
      <c r="AE39" s="2"/>
      <c r="AF39" s="2"/>
      <c r="AG39" s="2"/>
      <c r="AH39" s="2"/>
    </row>
    <row r="40" spans="1:34">
      <c r="A40" s="2"/>
      <c r="B40" s="150" t="s">
        <v>143</v>
      </c>
      <c r="C40" s="106"/>
      <c r="D40" s="151" t="e">
        <f>SUM(F40:AB40)</f>
        <v>#REF!</v>
      </c>
      <c r="E40" s="106"/>
      <c r="F40" s="151" t="e">
        <f>(#REF!+#REF!)</f>
        <v>#REF!</v>
      </c>
      <c r="G40" s="151" t="e">
        <f>(#REF!+#REF!)</f>
        <v>#REF!</v>
      </c>
      <c r="H40" s="151" t="e">
        <f>(#REF!+#REF!)</f>
        <v>#REF!</v>
      </c>
      <c r="I40" s="151" t="e">
        <f>#REF!</f>
        <v>#REF!</v>
      </c>
      <c r="J40" s="151" t="e">
        <f>#REF!</f>
        <v>#REF!</v>
      </c>
      <c r="K40" s="151" t="e">
        <f>#REF!</f>
        <v>#REF!</v>
      </c>
      <c r="L40" s="151" t="e">
        <f>#REF!</f>
        <v>#REF!</v>
      </c>
      <c r="M40" s="151" t="e">
        <f>#REF!</f>
        <v>#REF!</v>
      </c>
      <c r="N40" s="151" t="e">
        <f>#REF!</f>
        <v>#REF!</v>
      </c>
      <c r="O40" s="151" t="e">
        <f>#REF!</f>
        <v>#REF!</v>
      </c>
      <c r="P40" s="151" t="e">
        <f>#REF!</f>
        <v>#REF!</v>
      </c>
      <c r="Q40" s="151" t="e">
        <f>#REF!</f>
        <v>#REF!</v>
      </c>
      <c r="R40" s="151" t="e">
        <f>#REF!</f>
        <v>#REF!</v>
      </c>
      <c r="S40" s="151" t="e">
        <f>#REF!</f>
        <v>#REF!</v>
      </c>
      <c r="T40" s="151" t="e">
        <f>#REF!</f>
        <v>#REF!</v>
      </c>
      <c r="U40" s="151" t="e">
        <f>#REF!</f>
        <v>#REF!</v>
      </c>
      <c r="V40" s="151" t="e">
        <f>#REF!</f>
        <v>#REF!</v>
      </c>
      <c r="W40" s="151" t="e">
        <f>#REF!</f>
        <v>#REF!</v>
      </c>
      <c r="X40" s="151" t="e">
        <f>#REF!</f>
        <v>#REF!</v>
      </c>
      <c r="Y40" s="151" t="e">
        <f>#REF!</f>
        <v>#REF!</v>
      </c>
      <c r="Z40" s="151" t="e">
        <f>#REF!</f>
        <v>#REF!</v>
      </c>
      <c r="AA40" s="151" t="e">
        <f>#REF!</f>
        <v>#REF!</v>
      </c>
      <c r="AB40" s="151" t="e">
        <f>#REF!</f>
        <v>#REF!</v>
      </c>
      <c r="AC40" s="95"/>
      <c r="AD40" s="95"/>
      <c r="AE40" s="95"/>
      <c r="AF40" s="95"/>
      <c r="AG40" s="95"/>
      <c r="AH40" s="95"/>
    </row>
    <row r="41" spans="1:34">
      <c r="A41" s="162">
        <f>3.5%</f>
        <v>3.5000000000000003E-2</v>
      </c>
      <c r="B41" s="163" t="s">
        <v>158</v>
      </c>
      <c r="C41" s="108"/>
      <c r="D41" s="154" t="e">
        <f>SUM(F41:AB41)</f>
        <v>#REF!</v>
      </c>
      <c r="E41" s="108"/>
      <c r="F41" s="109">
        <v>0</v>
      </c>
      <c r="G41" s="109">
        <v>0</v>
      </c>
      <c r="H41" s="109">
        <v>0</v>
      </c>
      <c r="I41" s="109" t="e">
        <f>#REF!+#REF!</f>
        <v>#REF!</v>
      </c>
      <c r="J41" s="109" t="e">
        <f>#REF!+#REF!</f>
        <v>#REF!</v>
      </c>
      <c r="K41" s="109" t="e">
        <f>#REF!+#REF!</f>
        <v>#REF!</v>
      </c>
      <c r="L41" s="109" t="e">
        <f>#REF!+#REF!</f>
        <v>#REF!</v>
      </c>
      <c r="M41" s="109" t="e">
        <f>#REF!+#REF!</f>
        <v>#REF!</v>
      </c>
      <c r="N41" s="109" t="e">
        <f>#REF!+#REF!</f>
        <v>#REF!</v>
      </c>
      <c r="O41" s="109" t="e">
        <f>#REF!+#REF!</f>
        <v>#REF!</v>
      </c>
      <c r="P41" s="109" t="e">
        <f>#REF!+#REF!</f>
        <v>#REF!</v>
      </c>
      <c r="Q41" s="109" t="e">
        <f>#REF!+#REF!</f>
        <v>#REF!</v>
      </c>
      <c r="R41" s="109" t="e">
        <f>#REF!+#REF!</f>
        <v>#REF!</v>
      </c>
      <c r="S41" s="109" t="e">
        <f>#REF!+#REF!</f>
        <v>#REF!</v>
      </c>
      <c r="T41" s="109" t="e">
        <f>#REF!+#REF!</f>
        <v>#REF!</v>
      </c>
      <c r="U41" s="109" t="e">
        <f>#REF!+#REF!</f>
        <v>#REF!</v>
      </c>
      <c r="V41" s="109" t="e">
        <f>#REF!+#REF!</f>
        <v>#REF!</v>
      </c>
      <c r="W41" s="109" t="e">
        <f>#REF!+#REF!</f>
        <v>#REF!</v>
      </c>
      <c r="X41" s="109" t="e">
        <f>#REF!+#REF!</f>
        <v>#REF!</v>
      </c>
      <c r="Y41" s="109" t="e">
        <f>#REF!+#REF!</f>
        <v>#REF!</v>
      </c>
      <c r="Z41" s="109" t="e">
        <f>#REF!+#REF!</f>
        <v>#REF!</v>
      </c>
      <c r="AA41" s="109" t="e">
        <f>#REF!+#REF!</f>
        <v>#REF!</v>
      </c>
      <c r="AB41" s="109" t="e">
        <f>#REF!+#REF!</f>
        <v>#REF!</v>
      </c>
      <c r="AC41" s="95"/>
      <c r="AD41" s="95"/>
      <c r="AE41" s="95"/>
      <c r="AF41" s="95"/>
      <c r="AG41" s="95"/>
      <c r="AH41" s="95"/>
    </row>
    <row r="42" spans="1:34">
      <c r="A42" s="164">
        <v>10000</v>
      </c>
      <c r="B42" s="143" t="s">
        <v>144</v>
      </c>
      <c r="C42" s="165"/>
      <c r="D42" s="154">
        <f>SUM(F42:AB42)</f>
        <v>0</v>
      </c>
      <c r="E42" s="165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95"/>
      <c r="AD42" s="95"/>
      <c r="AE42" s="95"/>
      <c r="AF42" s="95"/>
      <c r="AG42" s="95"/>
      <c r="AH42" s="95"/>
    </row>
    <row r="43" spans="1:34">
      <c r="A43" s="162"/>
      <c r="B43" s="143" t="s">
        <v>145</v>
      </c>
      <c r="C43" s="165"/>
      <c r="D43" s="154" t="e">
        <f>#REF!</f>
        <v>#REF!</v>
      </c>
      <c r="E43" s="165"/>
      <c r="F43" s="154" t="e">
        <f>D43</f>
        <v>#REF!</v>
      </c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95"/>
      <c r="AD43" s="95"/>
      <c r="AE43" s="95"/>
      <c r="AF43" s="95"/>
      <c r="AG43" s="95"/>
      <c r="AH43" s="95"/>
    </row>
    <row r="44" spans="1:34" ht="15.75" thickBot="1">
      <c r="A44" s="2"/>
      <c r="B44" s="170" t="s">
        <v>146</v>
      </c>
      <c r="C44" s="155"/>
      <c r="D44" s="228">
        <f>SUM(F44:AB44)</f>
        <v>8280000</v>
      </c>
      <c r="E44" s="155"/>
      <c r="F44" s="156">
        <f>30000*12</f>
        <v>360000</v>
      </c>
      <c r="G44" s="156">
        <f>30000*12</f>
        <v>360000</v>
      </c>
      <c r="H44" s="156">
        <f>30000*12</f>
        <v>360000</v>
      </c>
      <c r="I44" s="156">
        <f>30000*12</f>
        <v>360000</v>
      </c>
      <c r="J44" s="156">
        <f t="shared" ref="J44:AB44" si="10">30000*12</f>
        <v>360000</v>
      </c>
      <c r="K44" s="156">
        <f t="shared" si="10"/>
        <v>360000</v>
      </c>
      <c r="L44" s="156">
        <f t="shared" si="10"/>
        <v>360000</v>
      </c>
      <c r="M44" s="156">
        <f t="shared" si="10"/>
        <v>360000</v>
      </c>
      <c r="N44" s="156">
        <f t="shared" si="10"/>
        <v>360000</v>
      </c>
      <c r="O44" s="156">
        <f t="shared" si="10"/>
        <v>360000</v>
      </c>
      <c r="P44" s="156">
        <f t="shared" si="10"/>
        <v>360000</v>
      </c>
      <c r="Q44" s="156">
        <f t="shared" si="10"/>
        <v>360000</v>
      </c>
      <c r="R44" s="156">
        <f t="shared" si="10"/>
        <v>360000</v>
      </c>
      <c r="S44" s="156">
        <f t="shared" si="10"/>
        <v>360000</v>
      </c>
      <c r="T44" s="156">
        <f t="shared" si="10"/>
        <v>360000</v>
      </c>
      <c r="U44" s="156">
        <f t="shared" si="10"/>
        <v>360000</v>
      </c>
      <c r="V44" s="156">
        <f t="shared" si="10"/>
        <v>360000</v>
      </c>
      <c r="W44" s="156">
        <f t="shared" si="10"/>
        <v>360000</v>
      </c>
      <c r="X44" s="156">
        <f t="shared" si="10"/>
        <v>360000</v>
      </c>
      <c r="Y44" s="156">
        <f t="shared" si="10"/>
        <v>360000</v>
      </c>
      <c r="Z44" s="156">
        <f t="shared" si="10"/>
        <v>360000</v>
      </c>
      <c r="AA44" s="156">
        <f t="shared" si="10"/>
        <v>360000</v>
      </c>
      <c r="AB44" s="156">
        <f t="shared" si="10"/>
        <v>360000</v>
      </c>
      <c r="AC44" s="95"/>
      <c r="AD44" s="95"/>
      <c r="AE44" s="95"/>
      <c r="AF44" s="95"/>
      <c r="AG44" s="95"/>
      <c r="AH44" s="95"/>
    </row>
    <row r="45" spans="1:34" ht="16.5" thickBot="1">
      <c r="A45" s="116"/>
      <c r="B45" s="145" t="s">
        <v>195</v>
      </c>
      <c r="C45" s="146"/>
      <c r="D45" s="147" t="e">
        <f>SUM(D46:D48)</f>
        <v>#REF!</v>
      </c>
      <c r="E45" s="148"/>
      <c r="F45" s="149" t="e">
        <f>SUM(F46:F48)</f>
        <v>#REF!</v>
      </c>
      <c r="G45" s="149" t="e">
        <f t="shared" ref="G45:AB45" si="11">SUM(G46:G48)</f>
        <v>#REF!</v>
      </c>
      <c r="H45" s="149" t="e">
        <f t="shared" si="11"/>
        <v>#REF!</v>
      </c>
      <c r="I45" s="149" t="e">
        <f t="shared" si="11"/>
        <v>#REF!</v>
      </c>
      <c r="J45" s="149" t="e">
        <f t="shared" si="11"/>
        <v>#REF!</v>
      </c>
      <c r="K45" s="149" t="e">
        <f t="shared" si="11"/>
        <v>#REF!</v>
      </c>
      <c r="L45" s="149" t="e">
        <f t="shared" si="11"/>
        <v>#REF!</v>
      </c>
      <c r="M45" s="149" t="e">
        <f t="shared" si="11"/>
        <v>#REF!</v>
      </c>
      <c r="N45" s="149" t="e">
        <f t="shared" si="11"/>
        <v>#REF!</v>
      </c>
      <c r="O45" s="149" t="e">
        <f t="shared" si="11"/>
        <v>#REF!</v>
      </c>
      <c r="P45" s="149" t="e">
        <f t="shared" si="11"/>
        <v>#REF!</v>
      </c>
      <c r="Q45" s="149" t="e">
        <f t="shared" si="11"/>
        <v>#REF!</v>
      </c>
      <c r="R45" s="149" t="e">
        <f t="shared" si="11"/>
        <v>#REF!</v>
      </c>
      <c r="S45" s="149" t="e">
        <f t="shared" si="11"/>
        <v>#REF!</v>
      </c>
      <c r="T45" s="149" t="e">
        <f t="shared" si="11"/>
        <v>#REF!</v>
      </c>
      <c r="U45" s="149" t="e">
        <f t="shared" si="11"/>
        <v>#REF!</v>
      </c>
      <c r="V45" s="149" t="e">
        <f t="shared" si="11"/>
        <v>#REF!</v>
      </c>
      <c r="W45" s="149" t="e">
        <f t="shared" si="11"/>
        <v>#REF!</v>
      </c>
      <c r="X45" s="149" t="e">
        <f t="shared" si="11"/>
        <v>#REF!</v>
      </c>
      <c r="Y45" s="149" t="e">
        <f t="shared" si="11"/>
        <v>#REF!</v>
      </c>
      <c r="Z45" s="149" t="e">
        <f t="shared" si="11"/>
        <v>#REF!</v>
      </c>
      <c r="AA45" s="149" t="e">
        <f t="shared" si="11"/>
        <v>#REF!</v>
      </c>
      <c r="AB45" s="149" t="e">
        <f t="shared" si="11"/>
        <v>#REF!</v>
      </c>
      <c r="AC45" s="2"/>
      <c r="AD45" s="2"/>
      <c r="AE45" s="2"/>
      <c r="AF45" s="2"/>
      <c r="AG45" s="2"/>
      <c r="AH45" s="2"/>
    </row>
    <row r="46" spans="1:34">
      <c r="A46" s="229">
        <v>2E-3</v>
      </c>
      <c r="B46" s="152" t="s">
        <v>147</v>
      </c>
      <c r="C46" s="153"/>
      <c r="D46" s="151" t="e">
        <f>SUM(F46:AB46)</f>
        <v>#REF!</v>
      </c>
      <c r="E46" s="153"/>
      <c r="F46" s="154" t="e">
        <f>SUM('Quadro 03 - Investimentos'!$E51:'Quadro 03 - Investimentos'!E51)*$A$46</f>
        <v>#REF!</v>
      </c>
      <c r="G46" s="154" t="e">
        <f>SUM('Quadro 03 - Investimentos'!$E51:'Quadro 03 - Investimentos'!G51)*$A$46</f>
        <v>#REF!</v>
      </c>
      <c r="H46" s="154" t="e">
        <f>SUM('Quadro 03 - Investimentos'!$E51:'Quadro 03 - Investimentos'!H51)*$A$46</f>
        <v>#REF!</v>
      </c>
      <c r="I46" s="154" t="e">
        <f>SUM('Quadro 03 - Investimentos'!$E51:'Quadro 03 - Investimentos'!I51)*$A$46</f>
        <v>#REF!</v>
      </c>
      <c r="J46" s="154" t="e">
        <f>SUM('Quadro 03 - Investimentos'!$E51:'Quadro 03 - Investimentos'!J51)*$A$46</f>
        <v>#REF!</v>
      </c>
      <c r="K46" s="154" t="e">
        <f>SUM('Quadro 03 - Investimentos'!$E51:'Quadro 03 - Investimentos'!K51)*$A$46</f>
        <v>#REF!</v>
      </c>
      <c r="L46" s="154" t="e">
        <f>SUM('Quadro 03 - Investimentos'!$E51:'Quadro 03 - Investimentos'!L51)*$A$46</f>
        <v>#REF!</v>
      </c>
      <c r="M46" s="154" t="e">
        <f>SUM('Quadro 03 - Investimentos'!$E51:'Quadro 03 - Investimentos'!M51)*$A$46</f>
        <v>#REF!</v>
      </c>
      <c r="N46" s="154" t="e">
        <f>SUM('Quadro 03 - Investimentos'!$E51:'Quadro 03 - Investimentos'!N51)*$A$46</f>
        <v>#REF!</v>
      </c>
      <c r="O46" s="154" t="e">
        <f>SUM('Quadro 03 - Investimentos'!$E51:'Quadro 03 - Investimentos'!O51)*$A$46</f>
        <v>#REF!</v>
      </c>
      <c r="P46" s="154" t="e">
        <f>SUM('Quadro 03 - Investimentos'!$E51:'Quadro 03 - Investimentos'!P51)*$A$46</f>
        <v>#REF!</v>
      </c>
      <c r="Q46" s="154" t="e">
        <f>SUM('Quadro 03 - Investimentos'!$E51:'Quadro 03 - Investimentos'!Q51)*$A$46</f>
        <v>#REF!</v>
      </c>
      <c r="R46" s="154" t="e">
        <f>SUM('Quadro 03 - Investimentos'!$E51:'Quadro 03 - Investimentos'!R51)*$A$46</f>
        <v>#REF!</v>
      </c>
      <c r="S46" s="154" t="e">
        <f>SUM('Quadro 03 - Investimentos'!$E51:'Quadro 03 - Investimentos'!S51)*$A$46</f>
        <v>#REF!</v>
      </c>
      <c r="T46" s="154" t="e">
        <f>SUM('Quadro 03 - Investimentos'!$E51:'Quadro 03 - Investimentos'!T51)*$A$46</f>
        <v>#REF!</v>
      </c>
      <c r="U46" s="154" t="e">
        <f>SUM('Quadro 03 - Investimentos'!$E51:'Quadro 03 - Investimentos'!U51)*$A$46</f>
        <v>#REF!</v>
      </c>
      <c r="V46" s="154" t="e">
        <f>SUM('Quadro 03 - Investimentos'!$E51:'Quadro 03 - Investimentos'!V51)*$A$46</f>
        <v>#REF!</v>
      </c>
      <c r="W46" s="154" t="e">
        <f>SUM('Quadro 03 - Investimentos'!$E51:'Quadro 03 - Investimentos'!W51)*$A$46</f>
        <v>#REF!</v>
      </c>
      <c r="X46" s="154" t="e">
        <f>SUM('Quadro 03 - Investimentos'!$E51:'Quadro 03 - Investimentos'!X51)*$A$46</f>
        <v>#REF!</v>
      </c>
      <c r="Y46" s="154" t="e">
        <f>SUM('Quadro 03 - Investimentos'!$E51:'Quadro 03 - Investimentos'!Y51)*$A$46</f>
        <v>#REF!</v>
      </c>
      <c r="Z46" s="154" t="e">
        <f>SUM('Quadro 03 - Investimentos'!$E51:'Quadro 03 - Investimentos'!Z51)*$A$46</f>
        <v>#REF!</v>
      </c>
      <c r="AA46" s="154" t="e">
        <f>SUM('Quadro 03 - Investimentos'!$E51:'Quadro 03 - Investimentos'!AA51)*$A$46</f>
        <v>#REF!</v>
      </c>
      <c r="AB46" s="154" t="e">
        <f>SUM('Quadro 03 - Investimentos'!$E51:'Quadro 03 - Investimentos'!AB51)*$A$46</f>
        <v>#REF!</v>
      </c>
      <c r="AC46" s="95"/>
      <c r="AD46" s="95"/>
      <c r="AE46" s="95"/>
      <c r="AF46" s="95"/>
      <c r="AG46" s="95"/>
      <c r="AH46" s="95"/>
    </row>
    <row r="47" spans="1:34">
      <c r="A47" s="162">
        <v>1.8E-3</v>
      </c>
      <c r="B47" s="157" t="s">
        <v>148</v>
      </c>
      <c r="C47" s="155"/>
      <c r="D47" s="154">
        <f>SUM(F47:AB47)</f>
        <v>0</v>
      </c>
      <c r="E47" s="155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95"/>
      <c r="AD47" s="95"/>
      <c r="AE47" s="95"/>
      <c r="AF47" s="95"/>
      <c r="AG47" s="95"/>
      <c r="AH47" s="95"/>
    </row>
    <row r="48" spans="1:34" ht="15.75" thickBot="1">
      <c r="A48" s="162">
        <v>5.0000000000000001E-3</v>
      </c>
      <c r="B48" s="158" t="s">
        <v>149</v>
      </c>
      <c r="C48" s="159"/>
      <c r="D48" s="160">
        <f>SUM(F48:AB48)</f>
        <v>0</v>
      </c>
      <c r="E48" s="159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95"/>
      <c r="AD48" s="95"/>
      <c r="AE48" s="95"/>
      <c r="AF48" s="95"/>
      <c r="AG48" s="95"/>
      <c r="AH48" s="95"/>
    </row>
    <row r="49" spans="1:34" ht="15.75" thickBot="1">
      <c r="A49" s="2"/>
      <c r="B49" s="100"/>
      <c r="C49" s="2"/>
      <c r="D49" s="2"/>
      <c r="E49" s="2"/>
      <c r="F49" s="2"/>
      <c r="G49" s="2"/>
      <c r="H49" s="2"/>
      <c r="I49" s="1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9.5" thickBot="1">
      <c r="A50" s="2"/>
      <c r="B50" s="101" t="s">
        <v>150</v>
      </c>
      <c r="C50" s="102"/>
      <c r="D50" s="103"/>
      <c r="E50" s="102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2"/>
      <c r="AD50" s="2"/>
      <c r="AE50" s="2"/>
      <c r="AF50" s="2"/>
      <c r="AG50" s="2"/>
      <c r="AH50" s="2"/>
    </row>
    <row r="51" spans="1:34" ht="16.5" thickTop="1" thickBot="1">
      <c r="A51" s="2"/>
      <c r="B51" s="11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>
      <c r="A52" s="162">
        <v>1.6500000000000001E-2</v>
      </c>
      <c r="B52" s="150" t="s">
        <v>151</v>
      </c>
      <c r="C52" s="106"/>
      <c r="D52" s="151"/>
      <c r="E52" s="106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95"/>
      <c r="AD52" s="95"/>
      <c r="AE52" s="95"/>
      <c r="AF52" s="95"/>
      <c r="AG52" s="95"/>
      <c r="AH52" s="95"/>
    </row>
    <row r="53" spans="1:34">
      <c r="A53" s="162">
        <v>7.5999999999999998E-2</v>
      </c>
      <c r="B53" s="152" t="s">
        <v>152</v>
      </c>
      <c r="C53" s="153"/>
      <c r="D53" s="154"/>
      <c r="E53" s="153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95"/>
      <c r="AD53" s="95"/>
      <c r="AE53" s="95"/>
      <c r="AF53" s="95"/>
      <c r="AG53" s="95"/>
      <c r="AH53" s="95"/>
    </row>
    <row r="54" spans="1:34">
      <c r="A54" s="162">
        <v>0.05</v>
      </c>
      <c r="B54" s="157" t="s">
        <v>153</v>
      </c>
      <c r="C54" s="155"/>
      <c r="D54" s="154"/>
      <c r="E54" s="155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95"/>
      <c r="AD54" s="95"/>
      <c r="AE54" s="95"/>
      <c r="AF54" s="95"/>
      <c r="AG54" s="95"/>
      <c r="AH54" s="95"/>
    </row>
    <row r="55" spans="1:34">
      <c r="A55" s="167">
        <v>0.25</v>
      </c>
      <c r="B55" s="157" t="s">
        <v>154</v>
      </c>
      <c r="C55" s="155"/>
      <c r="D55" s="154"/>
      <c r="E55" s="155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95"/>
      <c r="AD55" s="95"/>
      <c r="AE55" s="95"/>
      <c r="AF55" s="95"/>
      <c r="AG55" s="95"/>
      <c r="AH55" s="95"/>
    </row>
    <row r="56" spans="1:34" ht="15.75" thickBot="1">
      <c r="A56" s="162">
        <v>1.4999999999999999E-2</v>
      </c>
      <c r="B56" s="158" t="s">
        <v>155</v>
      </c>
      <c r="C56" s="159"/>
      <c r="D56" s="160"/>
      <c r="E56" s="159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95"/>
      <c r="AD56" s="95"/>
      <c r="AE56" s="95"/>
      <c r="AF56" s="95"/>
      <c r="AG56" s="95"/>
      <c r="AH56" s="95"/>
    </row>
    <row r="57" spans="1:34" ht="15.75" thickBot="1">
      <c r="A57" s="2"/>
      <c r="B57" s="10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9.5" thickBot="1">
      <c r="A58" s="2"/>
      <c r="B58" s="112" t="s">
        <v>156</v>
      </c>
      <c r="C58" s="113"/>
      <c r="D58" s="114"/>
      <c r="E58" s="113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2"/>
      <c r="AD58" s="2"/>
      <c r="AE58" s="2"/>
      <c r="AF58" s="2"/>
      <c r="AG58" s="2"/>
      <c r="AH58" s="2"/>
    </row>
    <row r="59" spans="1:3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>
      <c r="A60" s="2"/>
      <c r="B60" s="168"/>
      <c r="C60" s="2"/>
      <c r="D60" s="169"/>
      <c r="E60" s="2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2"/>
      <c r="AD60" s="2"/>
      <c r="AE60" s="2"/>
      <c r="AF60" s="2"/>
      <c r="AG60" s="2"/>
      <c r="AH60" s="2"/>
    </row>
    <row r="61" spans="1:3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</sheetData>
  <mergeCells count="25">
    <mergeCell ref="AA3:AA4"/>
    <mergeCell ref="AB3:AB4"/>
    <mergeCell ref="V3:V4"/>
    <mergeCell ref="W3:W4"/>
    <mergeCell ref="X3:X4"/>
    <mergeCell ref="Y3:Y4"/>
    <mergeCell ref="Z3:Z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I3:I4"/>
    <mergeCell ref="B3:B4"/>
    <mergeCell ref="D3:D4"/>
    <mergeCell ref="F3:F4"/>
    <mergeCell ref="G3:G4"/>
    <mergeCell ref="H3:H4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0"/>
  <sheetViews>
    <sheetView workbookViewId="0">
      <selection activeCell="C25" sqref="C25"/>
    </sheetView>
  </sheetViews>
  <sheetFormatPr defaultColWidth="8" defaultRowHeight="15"/>
  <cols>
    <col min="1" max="1" width="23.85546875" style="175" customWidth="1"/>
    <col min="2" max="2" width="8" style="175"/>
    <col min="3" max="3" width="28.42578125" style="175" customWidth="1"/>
    <col min="4" max="4" width="26.140625" style="175" customWidth="1"/>
    <col min="5" max="5" width="1.42578125" style="175" customWidth="1"/>
    <col min="6" max="16384" width="8" style="175"/>
  </cols>
  <sheetData>
    <row r="1" spans="1:6">
      <c r="A1" s="171"/>
      <c r="B1" s="172"/>
      <c r="C1" s="173" t="s">
        <v>160</v>
      </c>
      <c r="D1" s="174" t="s">
        <v>161</v>
      </c>
    </row>
    <row r="2" spans="1:6">
      <c r="A2" s="176" t="s">
        <v>162</v>
      </c>
      <c r="C2" s="177">
        <v>2601000</v>
      </c>
      <c r="D2" s="178">
        <v>2307087</v>
      </c>
      <c r="F2" s="175" t="s">
        <v>163</v>
      </c>
    </row>
    <row r="3" spans="1:6">
      <c r="A3" s="176" t="s">
        <v>164</v>
      </c>
      <c r="C3" s="177">
        <v>1372920</v>
      </c>
      <c r="D3" s="178">
        <v>1217780.04</v>
      </c>
      <c r="F3" s="175" t="s">
        <v>163</v>
      </c>
    </row>
    <row r="4" spans="1:6">
      <c r="A4" s="176" t="s">
        <v>165</v>
      </c>
      <c r="C4" s="177">
        <v>226700</v>
      </c>
      <c r="D4" s="178">
        <v>240000</v>
      </c>
      <c r="F4" s="175" t="s">
        <v>166</v>
      </c>
    </row>
    <row r="5" spans="1:6">
      <c r="A5" s="176" t="s">
        <v>167</v>
      </c>
      <c r="C5" s="177">
        <v>150000</v>
      </c>
      <c r="D5" s="178">
        <v>250000</v>
      </c>
      <c r="F5" s="175" t="s">
        <v>168</v>
      </c>
    </row>
    <row r="6" spans="1:6">
      <c r="A6" s="176" t="s">
        <v>169</v>
      </c>
      <c r="C6" s="177">
        <v>0</v>
      </c>
      <c r="D6" s="178">
        <v>0</v>
      </c>
      <c r="F6" s="175" t="s">
        <v>3</v>
      </c>
    </row>
    <row r="7" spans="1:6">
      <c r="A7" s="176" t="s">
        <v>12</v>
      </c>
      <c r="C7" s="177">
        <v>20000</v>
      </c>
      <c r="D7" s="178">
        <v>40000</v>
      </c>
      <c r="F7" s="175" t="s">
        <v>170</v>
      </c>
    </row>
    <row r="8" spans="1:6">
      <c r="A8" s="176" t="s">
        <v>171</v>
      </c>
      <c r="C8" s="177">
        <v>7800</v>
      </c>
      <c r="D8" s="178">
        <v>18000</v>
      </c>
      <c r="F8" s="175" t="s">
        <v>172</v>
      </c>
    </row>
    <row r="9" spans="1:6">
      <c r="A9" s="179" t="s">
        <v>0</v>
      </c>
      <c r="B9" s="180"/>
      <c r="C9" s="181">
        <f>SUM(C2:C8)</f>
        <v>4378420</v>
      </c>
      <c r="D9" s="182">
        <f>SUM(D2:D8)</f>
        <v>4072867.04</v>
      </c>
    </row>
    <row r="11" spans="1:6">
      <c r="A11" s="175" t="s">
        <v>173</v>
      </c>
    </row>
    <row r="13" spans="1:6">
      <c r="A13" s="175" t="s">
        <v>174</v>
      </c>
    </row>
    <row r="14" spans="1:6">
      <c r="A14" s="175" t="s">
        <v>175</v>
      </c>
      <c r="B14" s="183">
        <v>51000</v>
      </c>
      <c r="C14" s="184" t="s">
        <v>176</v>
      </c>
      <c r="D14" s="185">
        <f>B14*12</f>
        <v>612000</v>
      </c>
    </row>
    <row r="15" spans="1:6">
      <c r="A15" s="175" t="s">
        <v>177</v>
      </c>
      <c r="B15" s="183">
        <f>B14*0.45</f>
        <v>22950</v>
      </c>
      <c r="C15" s="184" t="s">
        <v>178</v>
      </c>
      <c r="D15" s="185">
        <f t="shared" ref="D15:D21" si="0">B15*12</f>
        <v>275400</v>
      </c>
    </row>
    <row r="16" spans="1:6">
      <c r="A16" s="175" t="s">
        <v>179</v>
      </c>
      <c r="B16" s="183">
        <f>B14*0.55</f>
        <v>28050.000000000004</v>
      </c>
      <c r="C16" s="184" t="s">
        <v>178</v>
      </c>
      <c r="D16" s="185">
        <f t="shared" si="0"/>
        <v>336600.00000000006</v>
      </c>
    </row>
    <row r="17" spans="1:6">
      <c r="A17" s="175" t="s">
        <v>180</v>
      </c>
      <c r="B17" s="183">
        <f>B15*0.08</f>
        <v>1836</v>
      </c>
      <c r="C17" s="184" t="s">
        <v>178</v>
      </c>
      <c r="D17" s="185">
        <f t="shared" si="0"/>
        <v>22032</v>
      </c>
    </row>
    <row r="18" spans="1:6">
      <c r="A18" s="175" t="s">
        <v>181</v>
      </c>
      <c r="B18" s="183">
        <f>B16*0.7</f>
        <v>19635</v>
      </c>
      <c r="C18" s="184" t="s">
        <v>178</v>
      </c>
      <c r="D18" s="185">
        <f t="shared" si="0"/>
        <v>235620</v>
      </c>
    </row>
    <row r="19" spans="1:6">
      <c r="A19" s="175" t="s">
        <v>182</v>
      </c>
      <c r="B19" s="183">
        <f>B18*0.2</f>
        <v>3927</v>
      </c>
      <c r="C19" s="184" t="s">
        <v>178</v>
      </c>
      <c r="D19" s="185">
        <f t="shared" si="0"/>
        <v>47124</v>
      </c>
    </row>
    <row r="20" spans="1:6">
      <c r="A20" s="175" t="s">
        <v>183</v>
      </c>
      <c r="B20" s="183">
        <f>B17+B19</f>
        <v>5763</v>
      </c>
      <c r="C20" s="184" t="s">
        <v>178</v>
      </c>
      <c r="D20" s="185">
        <f t="shared" si="0"/>
        <v>69156</v>
      </c>
    </row>
    <row r="21" spans="1:6">
      <c r="A21" s="175" t="s">
        <v>184</v>
      </c>
      <c r="B21" s="183">
        <f>B14-B20</f>
        <v>45237</v>
      </c>
      <c r="C21" s="184" t="s">
        <v>178</v>
      </c>
      <c r="D21" s="185">
        <f t="shared" si="0"/>
        <v>542844</v>
      </c>
    </row>
    <row r="23" spans="1:6">
      <c r="A23" s="175" t="s">
        <v>185</v>
      </c>
    </row>
    <row r="24" spans="1:6">
      <c r="A24" s="175" t="s">
        <v>186</v>
      </c>
      <c r="C24" s="190">
        <v>75</v>
      </c>
      <c r="D24" s="175" t="s">
        <v>157</v>
      </c>
      <c r="F24" s="191" t="s">
        <v>194</v>
      </c>
    </row>
    <row r="25" spans="1:6">
      <c r="A25" s="175" t="s">
        <v>187</v>
      </c>
      <c r="C25" s="175">
        <f>ROUND(D3/B21,2)</f>
        <v>26.92</v>
      </c>
      <c r="D25" s="175" t="s">
        <v>157</v>
      </c>
    </row>
    <row r="26" spans="1:6">
      <c r="A26" s="186" t="s">
        <v>193</v>
      </c>
      <c r="C26" s="175">
        <f>ROUND(SUM(D4:D8)/B21,2)</f>
        <v>12.11</v>
      </c>
      <c r="D26" s="175" t="s">
        <v>157</v>
      </c>
    </row>
    <row r="27" spans="1:6">
      <c r="A27" s="175" t="s">
        <v>188</v>
      </c>
      <c r="C27" s="175" t="s">
        <v>189</v>
      </c>
    </row>
    <row r="28" spans="1:6">
      <c r="A28" s="175" t="s">
        <v>167</v>
      </c>
      <c r="C28" s="175" t="s">
        <v>190</v>
      </c>
    </row>
    <row r="29" spans="1:6">
      <c r="A29" s="175" t="s">
        <v>12</v>
      </c>
      <c r="C29" s="175" t="s">
        <v>191</v>
      </c>
    </row>
    <row r="30" spans="1:6">
      <c r="A30" s="175" t="s">
        <v>171</v>
      </c>
      <c r="C30" s="175" t="s">
        <v>192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zoomScale="90" zoomScaleNormal="90" workbookViewId="0">
      <pane ySplit="4" topLeftCell="A20" activePane="bottomLeft" state="frozen"/>
      <selection activeCell="A33" sqref="A33"/>
      <selection pane="bottomLeft" activeCell="A33" sqref="A33"/>
    </sheetView>
  </sheetViews>
  <sheetFormatPr defaultColWidth="8.85546875" defaultRowHeight="15"/>
  <cols>
    <col min="1" max="1" width="59.42578125" customWidth="1"/>
    <col min="2" max="2" width="0.85546875" customWidth="1"/>
    <col min="3" max="3" width="21.42578125" customWidth="1"/>
    <col min="4" max="4" width="0.85546875" customWidth="1"/>
    <col min="5" max="5" width="12.7109375" customWidth="1"/>
    <col min="6" max="6" width="21.85546875" customWidth="1"/>
    <col min="7" max="7" width="20.85546875" customWidth="1"/>
    <col min="8" max="8" width="17.85546875" customWidth="1"/>
    <col min="9" max="9" width="16.42578125" customWidth="1"/>
    <col min="10" max="10" width="15.42578125" customWidth="1"/>
    <col min="11" max="11" width="17.7109375" customWidth="1"/>
    <col min="12" max="12" width="17" customWidth="1"/>
    <col min="13" max="13" width="18.7109375" customWidth="1"/>
    <col min="14" max="14" width="9.7109375" bestFit="1" customWidth="1"/>
    <col min="15" max="15" width="11.42578125" customWidth="1"/>
    <col min="16" max="17" width="9.7109375" bestFit="1" customWidth="1"/>
    <col min="18" max="18" width="18.28515625" customWidth="1"/>
    <col min="19" max="19" width="9.7109375" bestFit="1" customWidth="1"/>
    <col min="20" max="20" width="10.7109375" customWidth="1"/>
    <col min="21" max="22" width="9.7109375" bestFit="1" customWidth="1"/>
    <col min="23" max="23" width="16.140625" customWidth="1"/>
    <col min="24" max="24" width="9.7109375" bestFit="1" customWidth="1"/>
    <col min="25" max="25" width="15.85546875" customWidth="1"/>
    <col min="29" max="29" width="17.28515625" customWidth="1"/>
  </cols>
  <sheetData>
    <row r="1" spans="1:31" ht="21">
      <c r="A1" s="94" t="s">
        <v>102</v>
      </c>
      <c r="B1" s="2"/>
      <c r="C1" s="9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321" t="s">
        <v>103</v>
      </c>
      <c r="B3" s="96"/>
      <c r="C3" s="319" t="s">
        <v>124</v>
      </c>
      <c r="D3" s="97"/>
      <c r="E3" s="319">
        <v>0</v>
      </c>
      <c r="F3" s="319">
        <f t="shared" ref="F3:Y3" si="0">E3+1</f>
        <v>1</v>
      </c>
      <c r="G3" s="319">
        <f t="shared" si="0"/>
        <v>2</v>
      </c>
      <c r="H3" s="319">
        <f t="shared" si="0"/>
        <v>3</v>
      </c>
      <c r="I3" s="319">
        <f t="shared" si="0"/>
        <v>4</v>
      </c>
      <c r="J3" s="319">
        <f t="shared" si="0"/>
        <v>5</v>
      </c>
      <c r="K3" s="319">
        <f t="shared" si="0"/>
        <v>6</v>
      </c>
      <c r="L3" s="319">
        <f t="shared" si="0"/>
        <v>7</v>
      </c>
      <c r="M3" s="319">
        <f t="shared" si="0"/>
        <v>8</v>
      </c>
      <c r="N3" s="319">
        <f t="shared" si="0"/>
        <v>9</v>
      </c>
      <c r="O3" s="319">
        <f t="shared" si="0"/>
        <v>10</v>
      </c>
      <c r="P3" s="319">
        <f t="shared" si="0"/>
        <v>11</v>
      </c>
      <c r="Q3" s="319">
        <f t="shared" si="0"/>
        <v>12</v>
      </c>
      <c r="R3" s="319">
        <f t="shared" si="0"/>
        <v>13</v>
      </c>
      <c r="S3" s="319">
        <f t="shared" si="0"/>
        <v>14</v>
      </c>
      <c r="T3" s="319">
        <f t="shared" si="0"/>
        <v>15</v>
      </c>
      <c r="U3" s="319">
        <f t="shared" si="0"/>
        <v>16</v>
      </c>
      <c r="V3" s="319">
        <f t="shared" si="0"/>
        <v>17</v>
      </c>
      <c r="W3" s="319">
        <f t="shared" si="0"/>
        <v>18</v>
      </c>
      <c r="X3" s="319">
        <f t="shared" si="0"/>
        <v>19</v>
      </c>
      <c r="Y3" s="319">
        <f t="shared" si="0"/>
        <v>20</v>
      </c>
      <c r="Z3" s="2"/>
      <c r="AA3" s="2"/>
      <c r="AB3" s="2"/>
      <c r="AC3" s="2"/>
      <c r="AD3" s="2"/>
      <c r="AE3" s="2"/>
    </row>
    <row r="4" spans="1:31" ht="15.75" thickBot="1">
      <c r="A4" s="322"/>
      <c r="B4" s="98"/>
      <c r="C4" s="320"/>
      <c r="D4" s="99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2"/>
      <c r="AA4" s="2"/>
      <c r="AB4" s="2"/>
      <c r="AC4" s="2"/>
      <c r="AD4" s="2"/>
      <c r="AE4" s="2"/>
    </row>
    <row r="5" spans="1:31" ht="15.75" thickBot="1">
      <c r="A5" s="10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9.5" thickBot="1">
      <c r="A6" s="101" t="s">
        <v>104</v>
      </c>
      <c r="B6" s="102"/>
      <c r="C6" s="206" t="e">
        <f>SUM(E6:Y6)</f>
        <v>#REF!</v>
      </c>
      <c r="D6" s="207"/>
      <c r="E6" s="206" t="e">
        <f>SUM(E9,E11,E13,E15,E17)</f>
        <v>#REF!</v>
      </c>
      <c r="F6" s="206" t="e">
        <f>SUM(F9,F11,F13,F15,F17)</f>
        <v>#REF!</v>
      </c>
      <c r="G6" s="206" t="e">
        <f t="shared" ref="G6:Y6" si="1">SUM(G9,G11,G13,G15,G17)</f>
        <v>#REF!</v>
      </c>
      <c r="H6" s="206" t="e">
        <f t="shared" si="1"/>
        <v>#REF!</v>
      </c>
      <c r="I6" s="206" t="e">
        <f t="shared" si="1"/>
        <v>#REF!</v>
      </c>
      <c r="J6" s="206" t="e">
        <f t="shared" si="1"/>
        <v>#REF!</v>
      </c>
      <c r="K6" s="206" t="e">
        <f t="shared" si="1"/>
        <v>#REF!</v>
      </c>
      <c r="L6" s="206" t="e">
        <f t="shared" si="1"/>
        <v>#REF!</v>
      </c>
      <c r="M6" s="206" t="e">
        <f t="shared" si="1"/>
        <v>#REF!</v>
      </c>
      <c r="N6" s="206" t="e">
        <f t="shared" si="1"/>
        <v>#REF!</v>
      </c>
      <c r="O6" s="206" t="e">
        <f t="shared" si="1"/>
        <v>#REF!</v>
      </c>
      <c r="P6" s="206" t="e">
        <f t="shared" si="1"/>
        <v>#REF!</v>
      </c>
      <c r="Q6" s="206" t="e">
        <f t="shared" si="1"/>
        <v>#REF!</v>
      </c>
      <c r="R6" s="206" t="e">
        <f t="shared" si="1"/>
        <v>#REF!</v>
      </c>
      <c r="S6" s="206" t="e">
        <f t="shared" si="1"/>
        <v>#REF!</v>
      </c>
      <c r="T6" s="206" t="e">
        <f t="shared" si="1"/>
        <v>#REF!</v>
      </c>
      <c r="U6" s="206" t="e">
        <f t="shared" si="1"/>
        <v>#REF!</v>
      </c>
      <c r="V6" s="206" t="e">
        <f t="shared" si="1"/>
        <v>#REF!</v>
      </c>
      <c r="W6" s="206" t="e">
        <f t="shared" si="1"/>
        <v>#REF!</v>
      </c>
      <c r="X6" s="206" t="e">
        <f t="shared" si="1"/>
        <v>#REF!</v>
      </c>
      <c r="Y6" s="206" t="e">
        <f t="shared" si="1"/>
        <v>#REF!</v>
      </c>
      <c r="Z6" s="2"/>
      <c r="AA6" s="2"/>
      <c r="AB6" s="104"/>
      <c r="AC6" s="104"/>
      <c r="AD6" s="2"/>
      <c r="AE6" s="2"/>
    </row>
    <row r="7" spans="1:31" ht="16.5" thickTop="1" thickBot="1">
      <c r="A7" s="100"/>
      <c r="B7" s="2"/>
      <c r="C7" s="2"/>
      <c r="D7" s="2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2"/>
      <c r="AA7" s="2"/>
      <c r="AB7" s="2"/>
      <c r="AC7" s="2"/>
      <c r="AD7" s="2"/>
      <c r="AE7" s="2"/>
    </row>
    <row r="8" spans="1:31" s="197" customFormat="1">
      <c r="A8" s="333" t="s">
        <v>105</v>
      </c>
      <c r="B8" s="209"/>
      <c r="C8" s="210">
        <f t="shared" ref="C8:C14" si="2">SUM(E8:Y8)</f>
        <v>1</v>
      </c>
      <c r="D8" s="210"/>
      <c r="E8" s="210"/>
      <c r="F8" s="210">
        <v>0.75</v>
      </c>
      <c r="G8" s="210">
        <v>0.25</v>
      </c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195"/>
      <c r="AA8" s="195"/>
      <c r="AB8" s="196"/>
      <c r="AC8" s="192">
        <f>(500000+1500000)/2</f>
        <v>1000000</v>
      </c>
      <c r="AD8" s="195"/>
      <c r="AE8" s="195"/>
    </row>
    <row r="9" spans="1:31" s="197" customFormat="1">
      <c r="A9" s="334"/>
      <c r="B9" s="211"/>
      <c r="C9" s="230">
        <f>SUM(E9:Y9)</f>
        <v>1000000</v>
      </c>
      <c r="D9" s="198"/>
      <c r="E9" s="198">
        <f t="shared" ref="E9:Y9" si="3">E8*$AC8</f>
        <v>0</v>
      </c>
      <c r="F9" s="198">
        <f>F8*$AC8</f>
        <v>750000</v>
      </c>
      <c r="G9" s="198">
        <f>G8*$AC8</f>
        <v>250000</v>
      </c>
      <c r="H9" s="198">
        <f t="shared" si="3"/>
        <v>0</v>
      </c>
      <c r="I9" s="198">
        <f t="shared" si="3"/>
        <v>0</v>
      </c>
      <c r="J9" s="198">
        <f t="shared" si="3"/>
        <v>0</v>
      </c>
      <c r="K9" s="198">
        <f t="shared" si="3"/>
        <v>0</v>
      </c>
      <c r="L9" s="198">
        <f t="shared" si="3"/>
        <v>0</v>
      </c>
      <c r="M9" s="198">
        <f t="shared" si="3"/>
        <v>0</v>
      </c>
      <c r="N9" s="198">
        <f t="shared" si="3"/>
        <v>0</v>
      </c>
      <c r="O9" s="198">
        <f t="shared" si="3"/>
        <v>0</v>
      </c>
      <c r="P9" s="198">
        <f t="shared" si="3"/>
        <v>0</v>
      </c>
      <c r="Q9" s="198">
        <f t="shared" si="3"/>
        <v>0</v>
      </c>
      <c r="R9" s="198">
        <f t="shared" si="3"/>
        <v>0</v>
      </c>
      <c r="S9" s="198">
        <f t="shared" si="3"/>
        <v>0</v>
      </c>
      <c r="T9" s="198">
        <f t="shared" si="3"/>
        <v>0</v>
      </c>
      <c r="U9" s="198">
        <f t="shared" si="3"/>
        <v>0</v>
      </c>
      <c r="V9" s="198">
        <f t="shared" si="3"/>
        <v>0</v>
      </c>
      <c r="W9" s="198">
        <f t="shared" si="3"/>
        <v>0</v>
      </c>
      <c r="X9" s="198">
        <f t="shared" si="3"/>
        <v>0</v>
      </c>
      <c r="Y9" s="198">
        <f t="shared" si="3"/>
        <v>0</v>
      </c>
      <c r="Z9" s="195"/>
      <c r="AA9" s="195"/>
      <c r="AB9" s="196"/>
      <c r="AC9" s="195"/>
      <c r="AD9" s="195"/>
      <c r="AE9" s="195"/>
    </row>
    <row r="10" spans="1:31" s="197" customFormat="1">
      <c r="A10" s="335" t="s">
        <v>106</v>
      </c>
      <c r="B10" s="193"/>
      <c r="C10" s="194">
        <f t="shared" si="2"/>
        <v>1</v>
      </c>
      <c r="D10" s="194"/>
      <c r="E10" s="194"/>
      <c r="F10" s="194">
        <v>0.75</v>
      </c>
      <c r="G10" s="194">
        <v>0.25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5"/>
      <c r="AA10" s="195"/>
      <c r="AB10" s="196"/>
      <c r="AC10" s="192" t="e">
        <f>#REF!</f>
        <v>#REF!</v>
      </c>
      <c r="AD10" s="195"/>
      <c r="AE10" s="195"/>
    </row>
    <row r="11" spans="1:31" s="197" customFormat="1">
      <c r="A11" s="334"/>
      <c r="B11" s="193"/>
      <c r="C11" s="198" t="e">
        <f t="shared" si="2"/>
        <v>#REF!</v>
      </c>
      <c r="D11" s="198"/>
      <c r="E11" s="198" t="e">
        <f t="shared" ref="E11:Y11" si="4">E10*$AC10</f>
        <v>#REF!</v>
      </c>
      <c r="F11" s="198" t="e">
        <f>F10*$AC10</f>
        <v>#REF!</v>
      </c>
      <c r="G11" s="198" t="e">
        <f t="shared" si="4"/>
        <v>#REF!</v>
      </c>
      <c r="H11" s="198" t="e">
        <f t="shared" si="4"/>
        <v>#REF!</v>
      </c>
      <c r="I11" s="198" t="e">
        <f t="shared" si="4"/>
        <v>#REF!</v>
      </c>
      <c r="J11" s="198" t="e">
        <f t="shared" si="4"/>
        <v>#REF!</v>
      </c>
      <c r="K11" s="198" t="e">
        <f t="shared" si="4"/>
        <v>#REF!</v>
      </c>
      <c r="L11" s="198" t="e">
        <f t="shared" si="4"/>
        <v>#REF!</v>
      </c>
      <c r="M11" s="198" t="e">
        <f t="shared" si="4"/>
        <v>#REF!</v>
      </c>
      <c r="N11" s="198" t="e">
        <f t="shared" si="4"/>
        <v>#REF!</v>
      </c>
      <c r="O11" s="198" t="e">
        <f t="shared" si="4"/>
        <v>#REF!</v>
      </c>
      <c r="P11" s="198" t="e">
        <f t="shared" si="4"/>
        <v>#REF!</v>
      </c>
      <c r="Q11" s="198" t="e">
        <f t="shared" si="4"/>
        <v>#REF!</v>
      </c>
      <c r="R11" s="198" t="e">
        <f t="shared" si="4"/>
        <v>#REF!</v>
      </c>
      <c r="S11" s="198" t="e">
        <f t="shared" si="4"/>
        <v>#REF!</v>
      </c>
      <c r="T11" s="198" t="e">
        <f t="shared" si="4"/>
        <v>#REF!</v>
      </c>
      <c r="U11" s="198" t="e">
        <f t="shared" si="4"/>
        <v>#REF!</v>
      </c>
      <c r="V11" s="198" t="e">
        <f t="shared" si="4"/>
        <v>#REF!</v>
      </c>
      <c r="W11" s="198" t="e">
        <f t="shared" si="4"/>
        <v>#REF!</v>
      </c>
      <c r="X11" s="198" t="e">
        <f t="shared" si="4"/>
        <v>#REF!</v>
      </c>
      <c r="Y11" s="198" t="e">
        <f t="shared" si="4"/>
        <v>#REF!</v>
      </c>
      <c r="Z11" s="195"/>
      <c r="AA11" s="195"/>
      <c r="AB11" s="196"/>
      <c r="AC11" s="195"/>
      <c r="AD11" s="195"/>
      <c r="AE11" s="195"/>
    </row>
    <row r="12" spans="1:31" s="1" customFormat="1">
      <c r="A12" s="327" t="s">
        <v>122</v>
      </c>
      <c r="B12" s="125"/>
      <c r="C12" s="126">
        <f t="shared" si="2"/>
        <v>1</v>
      </c>
      <c r="D12" s="126"/>
      <c r="E12" s="126"/>
      <c r="F12" s="126">
        <v>0.25</v>
      </c>
      <c r="G12" s="126">
        <v>0.75</v>
      </c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7"/>
      <c r="AA12" s="127"/>
      <c r="AB12" s="128"/>
      <c r="AC12" s="129" t="e">
        <f>SUM(#REF!)</f>
        <v>#REF!</v>
      </c>
      <c r="AD12" s="127"/>
      <c r="AE12" s="127"/>
    </row>
    <row r="13" spans="1:31" s="1" customFormat="1">
      <c r="A13" s="332"/>
      <c r="B13" s="125"/>
      <c r="C13" s="130" t="e">
        <f>SUM(E13:Y13)</f>
        <v>#REF!</v>
      </c>
      <c r="D13" s="130"/>
      <c r="E13" s="130" t="e">
        <f t="shared" ref="E13:Y13" si="5">E12*$AC12</f>
        <v>#REF!</v>
      </c>
      <c r="F13" s="130" t="e">
        <f>F12*$AC12</f>
        <v>#REF!</v>
      </c>
      <c r="G13" s="130" t="e">
        <f t="shared" si="5"/>
        <v>#REF!</v>
      </c>
      <c r="H13" s="130" t="e">
        <f t="shared" si="5"/>
        <v>#REF!</v>
      </c>
      <c r="I13" s="130" t="e">
        <f t="shared" si="5"/>
        <v>#REF!</v>
      </c>
      <c r="J13" s="130" t="e">
        <f t="shared" si="5"/>
        <v>#REF!</v>
      </c>
      <c r="K13" s="130" t="e">
        <f t="shared" si="5"/>
        <v>#REF!</v>
      </c>
      <c r="L13" s="130" t="e">
        <f t="shared" si="5"/>
        <v>#REF!</v>
      </c>
      <c r="M13" s="130" t="e">
        <f t="shared" si="5"/>
        <v>#REF!</v>
      </c>
      <c r="N13" s="130" t="e">
        <f t="shared" si="5"/>
        <v>#REF!</v>
      </c>
      <c r="O13" s="130" t="e">
        <f t="shared" si="5"/>
        <v>#REF!</v>
      </c>
      <c r="P13" s="130" t="e">
        <f t="shared" si="5"/>
        <v>#REF!</v>
      </c>
      <c r="Q13" s="130" t="e">
        <f t="shared" si="5"/>
        <v>#REF!</v>
      </c>
      <c r="R13" s="130" t="e">
        <f t="shared" si="5"/>
        <v>#REF!</v>
      </c>
      <c r="S13" s="130" t="e">
        <f t="shared" si="5"/>
        <v>#REF!</v>
      </c>
      <c r="T13" s="130" t="e">
        <f t="shared" si="5"/>
        <v>#REF!</v>
      </c>
      <c r="U13" s="130" t="e">
        <f t="shared" si="5"/>
        <v>#REF!</v>
      </c>
      <c r="V13" s="130" t="e">
        <f t="shared" si="5"/>
        <v>#REF!</v>
      </c>
      <c r="W13" s="130" t="e">
        <f t="shared" si="5"/>
        <v>#REF!</v>
      </c>
      <c r="X13" s="130" t="e">
        <f t="shared" si="5"/>
        <v>#REF!</v>
      </c>
      <c r="Y13" s="130" t="e">
        <f t="shared" si="5"/>
        <v>#REF!</v>
      </c>
      <c r="Z13" s="127"/>
      <c r="AA13" s="127"/>
      <c r="AB13" s="128"/>
      <c r="AC13" s="127"/>
      <c r="AD13" s="127"/>
      <c r="AE13" s="127"/>
    </row>
    <row r="14" spans="1:31" s="7" customFormat="1">
      <c r="A14" s="336" t="s">
        <v>123</v>
      </c>
      <c r="B14" s="134"/>
      <c r="C14" s="135">
        <f t="shared" si="2"/>
        <v>1</v>
      </c>
      <c r="D14" s="133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>
        <v>0.5</v>
      </c>
      <c r="S14" s="136"/>
      <c r="T14" s="136"/>
      <c r="U14" s="136"/>
      <c r="V14" s="136"/>
      <c r="W14" s="136"/>
      <c r="X14" s="136"/>
      <c r="Y14" s="136">
        <v>0.5</v>
      </c>
      <c r="Z14" s="131"/>
      <c r="AA14" s="131"/>
      <c r="AB14" s="132"/>
      <c r="AD14" s="131"/>
      <c r="AE14" s="131"/>
    </row>
    <row r="15" spans="1:31" s="7" customFormat="1">
      <c r="A15" s="337"/>
      <c r="B15" s="134"/>
      <c r="C15" s="133" t="e">
        <f>C13*0.2</f>
        <v>#REF!</v>
      </c>
      <c r="D15" s="133"/>
      <c r="E15" s="133" t="e">
        <f>E14*$AC17</f>
        <v>#REF!</v>
      </c>
      <c r="F15" s="133" t="e">
        <f t="shared" ref="F15:N15" si="6">F14*$AC17</f>
        <v>#REF!</v>
      </c>
      <c r="G15" s="133" t="e">
        <f t="shared" si="6"/>
        <v>#REF!</v>
      </c>
      <c r="H15" s="133" t="e">
        <f t="shared" si="6"/>
        <v>#REF!</v>
      </c>
      <c r="I15" s="133" t="e">
        <f t="shared" si="6"/>
        <v>#REF!</v>
      </c>
      <c r="J15" s="133" t="e">
        <f t="shared" si="6"/>
        <v>#REF!</v>
      </c>
      <c r="K15" s="133" t="e">
        <f t="shared" si="6"/>
        <v>#REF!</v>
      </c>
      <c r="L15" s="133" t="e">
        <f t="shared" si="6"/>
        <v>#REF!</v>
      </c>
      <c r="M15" s="133" t="e">
        <f t="shared" si="6"/>
        <v>#REF!</v>
      </c>
      <c r="N15" s="133" t="e">
        <f t="shared" si="6"/>
        <v>#REF!</v>
      </c>
      <c r="O15" s="133"/>
      <c r="P15" s="133">
        <f>P14*$AC15</f>
        <v>0</v>
      </c>
      <c r="Q15" s="133" t="e">
        <f>Q14*$AC17</f>
        <v>#REF!</v>
      </c>
      <c r="R15" s="133" t="e">
        <f>C15*R14</f>
        <v>#REF!</v>
      </c>
      <c r="S15" s="133" t="e">
        <f t="shared" ref="S15:X15" si="7">S14*$AC17</f>
        <v>#REF!</v>
      </c>
      <c r="T15" s="133" t="e">
        <f t="shared" si="7"/>
        <v>#REF!</v>
      </c>
      <c r="U15" s="133" t="e">
        <f t="shared" si="7"/>
        <v>#REF!</v>
      </c>
      <c r="V15" s="133" t="e">
        <f t="shared" si="7"/>
        <v>#REF!</v>
      </c>
      <c r="W15" s="133" t="e">
        <f t="shared" si="7"/>
        <v>#REF!</v>
      </c>
      <c r="X15" s="133" t="e">
        <f t="shared" si="7"/>
        <v>#REF!</v>
      </c>
      <c r="Y15" s="133" t="e">
        <f>C15*Y14</f>
        <v>#REF!</v>
      </c>
      <c r="Z15" s="131"/>
      <c r="AA15" s="131"/>
      <c r="AB15" s="132"/>
      <c r="AD15" s="131"/>
      <c r="AE15" s="131"/>
    </row>
    <row r="16" spans="1:31" s="1" customFormat="1">
      <c r="A16" s="327" t="s">
        <v>125</v>
      </c>
      <c r="B16" s="125"/>
      <c r="C16" s="137">
        <f>SUM(E16:Y16)</f>
        <v>1</v>
      </c>
      <c r="D16" s="137"/>
      <c r="E16" s="137"/>
      <c r="F16" s="137"/>
      <c r="G16" s="138"/>
      <c r="H16" s="137">
        <v>0.25</v>
      </c>
      <c r="I16" s="137"/>
      <c r="J16" s="137"/>
      <c r="K16" s="137"/>
      <c r="L16" s="138"/>
      <c r="M16" s="138">
        <f>H16</f>
        <v>0.25</v>
      </c>
      <c r="N16" s="137"/>
      <c r="O16" s="137"/>
      <c r="P16" s="137"/>
      <c r="Q16" s="138"/>
      <c r="R16" s="138">
        <f>M16</f>
        <v>0.25</v>
      </c>
      <c r="S16" s="137"/>
      <c r="T16" s="137"/>
      <c r="U16" s="137"/>
      <c r="V16" s="138"/>
      <c r="W16" s="138">
        <f>R16</f>
        <v>0.25</v>
      </c>
      <c r="X16" s="137"/>
      <c r="Y16" s="137"/>
      <c r="Z16" s="127"/>
      <c r="AA16" s="127"/>
      <c r="AB16" s="139"/>
      <c r="AD16" s="127"/>
      <c r="AE16" s="127"/>
    </row>
    <row r="17" spans="1:31" s="1" customFormat="1" ht="15.75" thickBot="1">
      <c r="A17" s="328"/>
      <c r="B17" s="140"/>
      <c r="C17" s="141" t="e">
        <f>SUM(E17:Y17)</f>
        <v>#REF!</v>
      </c>
      <c r="D17" s="141"/>
      <c r="E17" s="141">
        <v>0</v>
      </c>
      <c r="F17" s="141" t="e">
        <f>$AC$17*F16</f>
        <v>#REF!</v>
      </c>
      <c r="G17" s="141" t="e">
        <f t="shared" ref="G17:Y17" si="8">$AC$17*G16</f>
        <v>#REF!</v>
      </c>
      <c r="H17" s="141" t="e">
        <f t="shared" si="8"/>
        <v>#REF!</v>
      </c>
      <c r="I17" s="141" t="e">
        <f t="shared" si="8"/>
        <v>#REF!</v>
      </c>
      <c r="J17" s="141" t="e">
        <f t="shared" si="8"/>
        <v>#REF!</v>
      </c>
      <c r="K17" s="141" t="e">
        <f t="shared" si="8"/>
        <v>#REF!</v>
      </c>
      <c r="L17" s="141" t="e">
        <f t="shared" si="8"/>
        <v>#REF!</v>
      </c>
      <c r="M17" s="141" t="e">
        <f t="shared" si="8"/>
        <v>#REF!</v>
      </c>
      <c r="N17" s="141" t="e">
        <f t="shared" si="8"/>
        <v>#REF!</v>
      </c>
      <c r="O17" s="141" t="e">
        <f t="shared" si="8"/>
        <v>#REF!</v>
      </c>
      <c r="P17" s="141" t="e">
        <f t="shared" si="8"/>
        <v>#REF!</v>
      </c>
      <c r="Q17" s="141" t="e">
        <f t="shared" si="8"/>
        <v>#REF!</v>
      </c>
      <c r="R17" s="141" t="e">
        <f>$AC$17*R16</f>
        <v>#REF!</v>
      </c>
      <c r="S17" s="141" t="e">
        <f t="shared" si="8"/>
        <v>#REF!</v>
      </c>
      <c r="T17" s="141" t="e">
        <f t="shared" si="8"/>
        <v>#REF!</v>
      </c>
      <c r="U17" s="141" t="e">
        <f t="shared" si="8"/>
        <v>#REF!</v>
      </c>
      <c r="V17" s="141" t="e">
        <f t="shared" si="8"/>
        <v>#REF!</v>
      </c>
      <c r="W17" s="141" t="e">
        <f t="shared" si="8"/>
        <v>#REF!</v>
      </c>
      <c r="X17" s="141" t="e">
        <f t="shared" si="8"/>
        <v>#REF!</v>
      </c>
      <c r="Y17" s="141" t="e">
        <f t="shared" si="8"/>
        <v>#REF!</v>
      </c>
      <c r="Z17" s="127"/>
      <c r="AA17" s="127"/>
      <c r="AB17" s="139"/>
      <c r="AC17" s="142" t="e">
        <f>#REF!</f>
        <v>#REF!</v>
      </c>
      <c r="AD17" s="127"/>
      <c r="AE17" s="127"/>
    </row>
    <row r="18" spans="1:31" ht="15.75" thickBot="1">
      <c r="A18" s="100"/>
      <c r="B18" s="2"/>
      <c r="C18" s="105"/>
      <c r="D18" s="2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2"/>
      <c r="AA18" s="2"/>
      <c r="AB18" s="95"/>
      <c r="AC18" s="2"/>
      <c r="AD18" s="2"/>
      <c r="AE18" s="2"/>
    </row>
    <row r="19" spans="1:31" ht="39.75" customHeight="1" thickBot="1">
      <c r="A19" s="110" t="s">
        <v>107</v>
      </c>
      <c r="B19" s="102"/>
      <c r="C19" s="103" t="e">
        <f>SUM(E19:Y19)</f>
        <v>#REF!</v>
      </c>
      <c r="D19" s="102"/>
      <c r="E19" s="206" t="e">
        <f>SUM(E22,E24,E26,E28,E30,E32)</f>
        <v>#REF!</v>
      </c>
      <c r="F19" s="206" t="e">
        <f t="shared" ref="F19:Y19" si="9">SUM(F22,F24,F26,F28,F30,F32)</f>
        <v>#REF!</v>
      </c>
      <c r="G19" s="206" t="e">
        <f t="shared" si="9"/>
        <v>#REF!</v>
      </c>
      <c r="H19" s="206" t="e">
        <f t="shared" si="9"/>
        <v>#REF!</v>
      </c>
      <c r="I19" s="206" t="e">
        <f t="shared" si="9"/>
        <v>#REF!</v>
      </c>
      <c r="J19" s="206" t="e">
        <f t="shared" si="9"/>
        <v>#REF!</v>
      </c>
      <c r="K19" s="206" t="e">
        <f t="shared" si="9"/>
        <v>#REF!</v>
      </c>
      <c r="L19" s="206" t="e">
        <f t="shared" si="9"/>
        <v>#REF!</v>
      </c>
      <c r="M19" s="206" t="e">
        <f t="shared" si="9"/>
        <v>#REF!</v>
      </c>
      <c r="N19" s="206" t="e">
        <f t="shared" si="9"/>
        <v>#REF!</v>
      </c>
      <c r="O19" s="206" t="e">
        <f t="shared" si="9"/>
        <v>#REF!</v>
      </c>
      <c r="P19" s="206" t="e">
        <f t="shared" si="9"/>
        <v>#REF!</v>
      </c>
      <c r="Q19" s="206" t="e">
        <f t="shared" si="9"/>
        <v>#REF!</v>
      </c>
      <c r="R19" s="206" t="e">
        <f t="shared" si="9"/>
        <v>#REF!</v>
      </c>
      <c r="S19" s="206" t="e">
        <f t="shared" si="9"/>
        <v>#REF!</v>
      </c>
      <c r="T19" s="206" t="e">
        <f t="shared" si="9"/>
        <v>#REF!</v>
      </c>
      <c r="U19" s="206" t="e">
        <f t="shared" si="9"/>
        <v>#REF!</v>
      </c>
      <c r="V19" s="206" t="e">
        <f t="shared" si="9"/>
        <v>#REF!</v>
      </c>
      <c r="W19" s="206" t="e">
        <f t="shared" si="9"/>
        <v>#REF!</v>
      </c>
      <c r="X19" s="206" t="e">
        <f t="shared" si="9"/>
        <v>#REF!</v>
      </c>
      <c r="Y19" s="206" t="e">
        <f t="shared" si="9"/>
        <v>#REF!</v>
      </c>
      <c r="Z19" s="2"/>
      <c r="AA19" s="2"/>
      <c r="AB19" s="2"/>
      <c r="AC19" s="2"/>
      <c r="AD19" s="2"/>
      <c r="AE19" s="2"/>
    </row>
    <row r="20" spans="1:31" ht="16.5" thickTop="1" thickBot="1">
      <c r="A20" s="100"/>
      <c r="B20" s="2"/>
      <c r="C20" s="2"/>
      <c r="D20" s="2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"/>
      <c r="AA20" s="2"/>
      <c r="AB20" s="2"/>
      <c r="AC20" s="2"/>
      <c r="AD20" s="2"/>
      <c r="AE20" s="2"/>
    </row>
    <row r="21" spans="1:31" s="1" customFormat="1">
      <c r="A21" s="338" t="s">
        <v>105</v>
      </c>
      <c r="B21" s="216"/>
      <c r="C21" s="217">
        <f t="shared" ref="C21:C27" si="10">SUM(E21:Y21)</f>
        <v>1</v>
      </c>
      <c r="D21" s="217"/>
      <c r="E21" s="217"/>
      <c r="F21" s="217">
        <v>0.75</v>
      </c>
      <c r="G21" s="217">
        <v>0.25</v>
      </c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127"/>
      <c r="AA21" s="127"/>
      <c r="AB21" s="128"/>
      <c r="AC21" s="218">
        <f>AC8</f>
        <v>1000000</v>
      </c>
      <c r="AD21" s="127"/>
      <c r="AE21" s="127"/>
    </row>
    <row r="22" spans="1:31" s="1" customFormat="1">
      <c r="A22" s="332"/>
      <c r="B22" s="219"/>
      <c r="C22" s="230">
        <f t="shared" si="10"/>
        <v>1000000</v>
      </c>
      <c r="D22" s="130"/>
      <c r="E22" s="130">
        <f t="shared" ref="E22:Y22" si="11">E21*$AC21</f>
        <v>0</v>
      </c>
      <c r="F22" s="130">
        <f>F21*$AC21</f>
        <v>750000</v>
      </c>
      <c r="G22" s="130">
        <f t="shared" si="11"/>
        <v>250000</v>
      </c>
      <c r="H22" s="130">
        <f t="shared" si="11"/>
        <v>0</v>
      </c>
      <c r="I22" s="130">
        <f t="shared" si="11"/>
        <v>0</v>
      </c>
      <c r="J22" s="130">
        <f t="shared" si="11"/>
        <v>0</v>
      </c>
      <c r="K22" s="130">
        <f t="shared" si="11"/>
        <v>0</v>
      </c>
      <c r="L22" s="130">
        <f t="shared" si="11"/>
        <v>0</v>
      </c>
      <c r="M22" s="130">
        <f t="shared" si="11"/>
        <v>0</v>
      </c>
      <c r="N22" s="130">
        <f t="shared" si="11"/>
        <v>0</v>
      </c>
      <c r="O22" s="130">
        <f t="shared" si="11"/>
        <v>0</v>
      </c>
      <c r="P22" s="130">
        <f t="shared" si="11"/>
        <v>0</v>
      </c>
      <c r="Q22" s="130">
        <f t="shared" si="11"/>
        <v>0</v>
      </c>
      <c r="R22" s="130">
        <f t="shared" si="11"/>
        <v>0</v>
      </c>
      <c r="S22" s="130">
        <f t="shared" si="11"/>
        <v>0</v>
      </c>
      <c r="T22" s="130">
        <f t="shared" si="11"/>
        <v>0</v>
      </c>
      <c r="U22" s="130">
        <f t="shared" si="11"/>
        <v>0</v>
      </c>
      <c r="V22" s="130">
        <f t="shared" si="11"/>
        <v>0</v>
      </c>
      <c r="W22" s="130">
        <f t="shared" si="11"/>
        <v>0</v>
      </c>
      <c r="X22" s="130">
        <f t="shared" si="11"/>
        <v>0</v>
      </c>
      <c r="Y22" s="130">
        <f t="shared" si="11"/>
        <v>0</v>
      </c>
      <c r="Z22" s="127"/>
      <c r="AA22" s="127"/>
      <c r="AB22" s="128"/>
      <c r="AC22" s="127"/>
      <c r="AD22" s="127"/>
      <c r="AE22" s="127"/>
    </row>
    <row r="23" spans="1:31" s="1" customFormat="1">
      <c r="A23" s="327" t="s">
        <v>108</v>
      </c>
      <c r="B23" s="125"/>
      <c r="C23" s="126">
        <f t="shared" si="10"/>
        <v>1</v>
      </c>
      <c r="D23" s="126"/>
      <c r="E23" s="126"/>
      <c r="F23" s="126">
        <v>0.75</v>
      </c>
      <c r="G23" s="126">
        <v>0.25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7"/>
      <c r="AA23" s="127"/>
      <c r="AB23" s="128"/>
      <c r="AC23" s="142" t="e">
        <f>#REF!+#REF!-AC29</f>
        <v>#REF!</v>
      </c>
      <c r="AD23" s="127"/>
      <c r="AE23" s="127"/>
    </row>
    <row r="24" spans="1:31" s="1" customFormat="1">
      <c r="A24" s="332"/>
      <c r="B24" s="125"/>
      <c r="C24" s="130" t="e">
        <f t="shared" si="10"/>
        <v>#REF!</v>
      </c>
      <c r="D24" s="130"/>
      <c r="E24" s="130" t="e">
        <f t="shared" ref="E24:Y24" si="12">E23*$AC23</f>
        <v>#REF!</v>
      </c>
      <c r="F24" s="130" t="e">
        <f>F23*$AC23</f>
        <v>#REF!</v>
      </c>
      <c r="G24" s="130" t="e">
        <f>G23*$AC23</f>
        <v>#REF!</v>
      </c>
      <c r="H24" s="130" t="e">
        <f t="shared" si="12"/>
        <v>#REF!</v>
      </c>
      <c r="I24" s="130" t="e">
        <f t="shared" si="12"/>
        <v>#REF!</v>
      </c>
      <c r="J24" s="130" t="e">
        <f t="shared" si="12"/>
        <v>#REF!</v>
      </c>
      <c r="K24" s="130" t="e">
        <f t="shared" si="12"/>
        <v>#REF!</v>
      </c>
      <c r="L24" s="130" t="e">
        <f t="shared" si="12"/>
        <v>#REF!</v>
      </c>
      <c r="M24" s="130" t="e">
        <f t="shared" si="12"/>
        <v>#REF!</v>
      </c>
      <c r="N24" s="130" t="e">
        <f t="shared" si="12"/>
        <v>#REF!</v>
      </c>
      <c r="O24" s="130" t="e">
        <f t="shared" si="12"/>
        <v>#REF!</v>
      </c>
      <c r="P24" s="130" t="e">
        <f t="shared" si="12"/>
        <v>#REF!</v>
      </c>
      <c r="Q24" s="130" t="e">
        <f t="shared" si="12"/>
        <v>#REF!</v>
      </c>
      <c r="R24" s="130" t="e">
        <f t="shared" si="12"/>
        <v>#REF!</v>
      </c>
      <c r="S24" s="130" t="e">
        <f t="shared" si="12"/>
        <v>#REF!</v>
      </c>
      <c r="T24" s="130" t="e">
        <f t="shared" si="12"/>
        <v>#REF!</v>
      </c>
      <c r="U24" s="130" t="e">
        <f t="shared" si="12"/>
        <v>#REF!</v>
      </c>
      <c r="V24" s="130" t="e">
        <f t="shared" si="12"/>
        <v>#REF!</v>
      </c>
      <c r="W24" s="130" t="e">
        <f t="shared" si="12"/>
        <v>#REF!</v>
      </c>
      <c r="X24" s="130" t="e">
        <f t="shared" si="12"/>
        <v>#REF!</v>
      </c>
      <c r="Y24" s="130" t="e">
        <f t="shared" si="12"/>
        <v>#REF!</v>
      </c>
      <c r="Z24" s="127"/>
      <c r="AA24" s="127"/>
      <c r="AB24" s="128"/>
      <c r="AC24" s="127"/>
      <c r="AD24" s="127"/>
      <c r="AE24" s="127"/>
    </row>
    <row r="25" spans="1:31" s="1" customFormat="1">
      <c r="A25" s="327" t="s">
        <v>197</v>
      </c>
      <c r="B25" s="125"/>
      <c r="C25" s="126">
        <f t="shared" si="10"/>
        <v>1</v>
      </c>
      <c r="D25" s="126"/>
      <c r="E25" s="126"/>
      <c r="F25" s="126">
        <v>0.25</v>
      </c>
      <c r="G25" s="126">
        <v>0.75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7"/>
      <c r="AA25" s="127"/>
      <c r="AB25" s="128"/>
      <c r="AC25" s="142" t="e">
        <f>#REF!</f>
        <v>#REF!</v>
      </c>
      <c r="AD25" s="127"/>
      <c r="AE25" s="127"/>
    </row>
    <row r="26" spans="1:31" s="1" customFormat="1">
      <c r="A26" s="332"/>
      <c r="B26" s="125"/>
      <c r="C26" s="130" t="e">
        <f>SUM(E26:Y26)</f>
        <v>#REF!</v>
      </c>
      <c r="D26" s="130"/>
      <c r="E26" s="130" t="e">
        <f t="shared" ref="E26:Y26" si="13">E25*$AC25</f>
        <v>#REF!</v>
      </c>
      <c r="F26" s="130" t="e">
        <f>F25*$AC25</f>
        <v>#REF!</v>
      </c>
      <c r="G26" s="130" t="e">
        <f t="shared" si="13"/>
        <v>#REF!</v>
      </c>
      <c r="H26" s="130" t="e">
        <f t="shared" si="13"/>
        <v>#REF!</v>
      </c>
      <c r="I26" s="130" t="e">
        <f t="shared" si="13"/>
        <v>#REF!</v>
      </c>
      <c r="J26" s="130" t="e">
        <f t="shared" si="13"/>
        <v>#REF!</v>
      </c>
      <c r="K26" s="130" t="e">
        <f t="shared" si="13"/>
        <v>#REF!</v>
      </c>
      <c r="L26" s="130" t="e">
        <f t="shared" si="13"/>
        <v>#REF!</v>
      </c>
      <c r="M26" s="130" t="e">
        <f t="shared" si="13"/>
        <v>#REF!</v>
      </c>
      <c r="N26" s="130" t="e">
        <f t="shared" si="13"/>
        <v>#REF!</v>
      </c>
      <c r="O26" s="130" t="e">
        <f t="shared" si="13"/>
        <v>#REF!</v>
      </c>
      <c r="P26" s="130" t="e">
        <f t="shared" si="13"/>
        <v>#REF!</v>
      </c>
      <c r="Q26" s="130" t="e">
        <f t="shared" si="13"/>
        <v>#REF!</v>
      </c>
      <c r="R26" s="130" t="e">
        <f t="shared" si="13"/>
        <v>#REF!</v>
      </c>
      <c r="S26" s="130" t="e">
        <f t="shared" si="13"/>
        <v>#REF!</v>
      </c>
      <c r="T26" s="130" t="e">
        <f t="shared" si="13"/>
        <v>#REF!</v>
      </c>
      <c r="U26" s="130" t="e">
        <f t="shared" si="13"/>
        <v>#REF!</v>
      </c>
      <c r="V26" s="130" t="e">
        <f t="shared" si="13"/>
        <v>#REF!</v>
      </c>
      <c r="W26" s="130" t="e">
        <f t="shared" si="13"/>
        <v>#REF!</v>
      </c>
      <c r="X26" s="130" t="e">
        <f t="shared" si="13"/>
        <v>#REF!</v>
      </c>
      <c r="Y26" s="130" t="e">
        <f t="shared" si="13"/>
        <v>#REF!</v>
      </c>
      <c r="Z26" s="127"/>
      <c r="AA26" s="127"/>
      <c r="AB26" s="128"/>
      <c r="AC26" s="127"/>
      <c r="AD26" s="127"/>
      <c r="AE26" s="127"/>
    </row>
    <row r="27" spans="1:31" s="205" customFormat="1">
      <c r="A27" s="339" t="s">
        <v>109</v>
      </c>
      <c r="B27" s="199"/>
      <c r="C27" s="200">
        <f t="shared" si="10"/>
        <v>1</v>
      </c>
      <c r="D27" s="201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>
        <v>0.5</v>
      </c>
      <c r="S27" s="202"/>
      <c r="T27" s="202"/>
      <c r="U27" s="202"/>
      <c r="V27" s="202"/>
      <c r="W27" s="202"/>
      <c r="X27" s="202"/>
      <c r="Y27" s="202">
        <v>0.5</v>
      </c>
      <c r="Z27" s="203"/>
      <c r="AA27" s="203"/>
      <c r="AB27" s="204"/>
      <c r="AC27" s="203"/>
      <c r="AD27" s="203"/>
      <c r="AE27" s="203"/>
    </row>
    <row r="28" spans="1:31" s="205" customFormat="1">
      <c r="A28" s="340"/>
      <c r="B28" s="199"/>
      <c r="C28" s="230" t="e">
        <f>C26*0.2</f>
        <v>#REF!</v>
      </c>
      <c r="D28" s="201"/>
      <c r="E28" s="201">
        <f t="shared" ref="E28:Q28" si="14">E27*$AC27</f>
        <v>0</v>
      </c>
      <c r="F28" s="201">
        <f t="shared" si="14"/>
        <v>0</v>
      </c>
      <c r="G28" s="201">
        <f t="shared" si="14"/>
        <v>0</v>
      </c>
      <c r="H28" s="201">
        <f t="shared" si="14"/>
        <v>0</v>
      </c>
      <c r="I28" s="201">
        <f t="shared" si="14"/>
        <v>0</v>
      </c>
      <c r="J28" s="201">
        <f t="shared" si="14"/>
        <v>0</v>
      </c>
      <c r="K28" s="201">
        <f t="shared" si="14"/>
        <v>0</v>
      </c>
      <c r="L28" s="201">
        <f t="shared" si="14"/>
        <v>0</v>
      </c>
      <c r="M28" s="201">
        <f t="shared" si="14"/>
        <v>0</v>
      </c>
      <c r="N28" s="201">
        <f t="shared" si="14"/>
        <v>0</v>
      </c>
      <c r="O28" s="201">
        <f t="shared" si="14"/>
        <v>0</v>
      </c>
      <c r="P28" s="201">
        <f t="shared" si="14"/>
        <v>0</v>
      </c>
      <c r="Q28" s="201">
        <f t="shared" si="14"/>
        <v>0</v>
      </c>
      <c r="R28" s="201" t="e">
        <f>C28*R27</f>
        <v>#REF!</v>
      </c>
      <c r="S28" s="201">
        <f t="shared" ref="S28:X28" si="15">S27*$AC27</f>
        <v>0</v>
      </c>
      <c r="T28" s="201">
        <f t="shared" si="15"/>
        <v>0</v>
      </c>
      <c r="U28" s="201">
        <f t="shared" si="15"/>
        <v>0</v>
      </c>
      <c r="V28" s="201">
        <f t="shared" si="15"/>
        <v>0</v>
      </c>
      <c r="W28" s="201">
        <f t="shared" si="15"/>
        <v>0</v>
      </c>
      <c r="X28" s="201">
        <f t="shared" si="15"/>
        <v>0</v>
      </c>
      <c r="Y28" s="201" t="e">
        <f>Y27*C28</f>
        <v>#REF!</v>
      </c>
      <c r="Z28" s="203"/>
      <c r="AA28" s="203"/>
      <c r="AB28" s="204"/>
      <c r="AC28" s="203"/>
      <c r="AD28" s="203"/>
      <c r="AE28" s="203"/>
    </row>
    <row r="29" spans="1:31" s="1" customFormat="1">
      <c r="A29" s="327" t="s">
        <v>110</v>
      </c>
      <c r="B29" s="125"/>
      <c r="C29" s="126">
        <f>SUM(E29:Y29)</f>
        <v>1</v>
      </c>
      <c r="D29" s="130"/>
      <c r="E29" s="212"/>
      <c r="F29" s="212">
        <v>0.5</v>
      </c>
      <c r="G29" s="212">
        <v>0.5</v>
      </c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127"/>
      <c r="AA29" s="127"/>
      <c r="AB29" s="128"/>
      <c r="AC29" s="142" t="e">
        <f>#REF!*#REF!</f>
        <v>#REF!</v>
      </c>
      <c r="AD29" s="127"/>
      <c r="AE29" s="127"/>
    </row>
    <row r="30" spans="1:31" s="1" customFormat="1">
      <c r="A30" s="332"/>
      <c r="B30" s="125"/>
      <c r="C30" s="198" t="e">
        <f>SUM(E30:Y30)</f>
        <v>#REF!</v>
      </c>
      <c r="D30" s="130"/>
      <c r="E30" s="130" t="e">
        <f t="shared" ref="E30:Y30" si="16">E29*$AC29</f>
        <v>#REF!</v>
      </c>
      <c r="F30" s="130" t="e">
        <f>F29*$AC29</f>
        <v>#REF!</v>
      </c>
      <c r="G30" s="130" t="e">
        <f t="shared" si="16"/>
        <v>#REF!</v>
      </c>
      <c r="H30" s="130" t="e">
        <f t="shared" si="16"/>
        <v>#REF!</v>
      </c>
      <c r="I30" s="130" t="e">
        <f t="shared" si="16"/>
        <v>#REF!</v>
      </c>
      <c r="J30" s="130" t="e">
        <f t="shared" si="16"/>
        <v>#REF!</v>
      </c>
      <c r="K30" s="130" t="e">
        <f t="shared" si="16"/>
        <v>#REF!</v>
      </c>
      <c r="L30" s="130" t="e">
        <f t="shared" si="16"/>
        <v>#REF!</v>
      </c>
      <c r="M30" s="130" t="e">
        <f t="shared" si="16"/>
        <v>#REF!</v>
      </c>
      <c r="N30" s="130" t="e">
        <f t="shared" si="16"/>
        <v>#REF!</v>
      </c>
      <c r="O30" s="130" t="e">
        <f t="shared" si="16"/>
        <v>#REF!</v>
      </c>
      <c r="P30" s="130" t="e">
        <f t="shared" si="16"/>
        <v>#REF!</v>
      </c>
      <c r="Q30" s="130" t="e">
        <f t="shared" si="16"/>
        <v>#REF!</v>
      </c>
      <c r="R30" s="130" t="e">
        <f t="shared" si="16"/>
        <v>#REF!</v>
      </c>
      <c r="S30" s="130" t="e">
        <f t="shared" si="16"/>
        <v>#REF!</v>
      </c>
      <c r="T30" s="130" t="e">
        <f t="shared" si="16"/>
        <v>#REF!</v>
      </c>
      <c r="U30" s="130" t="e">
        <f t="shared" si="16"/>
        <v>#REF!</v>
      </c>
      <c r="V30" s="130" t="e">
        <f t="shared" si="16"/>
        <v>#REF!</v>
      </c>
      <c r="W30" s="130" t="e">
        <f t="shared" si="16"/>
        <v>#REF!</v>
      </c>
      <c r="X30" s="130" t="e">
        <f t="shared" si="16"/>
        <v>#REF!</v>
      </c>
      <c r="Y30" s="130" t="e">
        <f t="shared" si="16"/>
        <v>#REF!</v>
      </c>
      <c r="Z30" s="127"/>
      <c r="AA30" s="127"/>
      <c r="AB30" s="128"/>
      <c r="AC30" s="127"/>
      <c r="AD30" s="127"/>
      <c r="AE30" s="127"/>
    </row>
    <row r="31" spans="1:31" s="1" customFormat="1">
      <c r="A31" s="327" t="s">
        <v>111</v>
      </c>
      <c r="B31" s="125"/>
      <c r="C31" s="126">
        <f>SUM(E31:Y31)</f>
        <v>1</v>
      </c>
      <c r="D31" s="126"/>
      <c r="E31" s="126"/>
      <c r="F31" s="126"/>
      <c r="G31" s="220"/>
      <c r="H31" s="126">
        <v>0.25</v>
      </c>
      <c r="I31" s="126"/>
      <c r="J31" s="126"/>
      <c r="K31" s="126"/>
      <c r="L31" s="220"/>
      <c r="M31" s="126">
        <v>0.25</v>
      </c>
      <c r="N31" s="126"/>
      <c r="O31" s="126"/>
      <c r="P31" s="126"/>
      <c r="Q31" s="220"/>
      <c r="R31" s="126">
        <v>0.25</v>
      </c>
      <c r="S31" s="126"/>
      <c r="T31" s="126"/>
      <c r="U31" s="126"/>
      <c r="V31" s="220"/>
      <c r="W31" s="126">
        <v>0.25</v>
      </c>
      <c r="X31" s="126"/>
      <c r="Y31" s="126"/>
      <c r="Z31" s="127"/>
      <c r="AA31" s="127"/>
      <c r="AB31" s="128"/>
      <c r="AC31" s="142"/>
      <c r="AD31" s="127"/>
      <c r="AE31" s="127"/>
    </row>
    <row r="32" spans="1:31" s="1" customFormat="1" ht="15.75" thickBot="1">
      <c r="A32" s="328"/>
      <c r="B32" s="140"/>
      <c r="C32" s="221">
        <f>SUM(E32:Y32)</f>
        <v>0</v>
      </c>
      <c r="D32" s="221"/>
      <c r="E32" s="221">
        <f t="shared" ref="E32:Y32" si="17">E31*$AC31</f>
        <v>0</v>
      </c>
      <c r="F32" s="221">
        <f t="shared" si="17"/>
        <v>0</v>
      </c>
      <c r="G32" s="221">
        <f t="shared" si="17"/>
        <v>0</v>
      </c>
      <c r="H32" s="221">
        <f t="shared" si="17"/>
        <v>0</v>
      </c>
      <c r="I32" s="221">
        <f t="shared" si="17"/>
        <v>0</v>
      </c>
      <c r="J32" s="221">
        <f t="shared" si="17"/>
        <v>0</v>
      </c>
      <c r="K32" s="221">
        <f t="shared" si="17"/>
        <v>0</v>
      </c>
      <c r="L32" s="221">
        <f t="shared" si="17"/>
        <v>0</v>
      </c>
      <c r="M32" s="221">
        <f t="shared" si="17"/>
        <v>0</v>
      </c>
      <c r="N32" s="221">
        <f t="shared" si="17"/>
        <v>0</v>
      </c>
      <c r="O32" s="221">
        <f t="shared" si="17"/>
        <v>0</v>
      </c>
      <c r="P32" s="221">
        <f t="shared" si="17"/>
        <v>0</v>
      </c>
      <c r="Q32" s="221">
        <f t="shared" si="17"/>
        <v>0</v>
      </c>
      <c r="R32" s="221">
        <f t="shared" si="17"/>
        <v>0</v>
      </c>
      <c r="S32" s="221">
        <f t="shared" si="17"/>
        <v>0</v>
      </c>
      <c r="T32" s="221">
        <f t="shared" si="17"/>
        <v>0</v>
      </c>
      <c r="U32" s="221">
        <f t="shared" si="17"/>
        <v>0</v>
      </c>
      <c r="V32" s="221">
        <f t="shared" si="17"/>
        <v>0</v>
      </c>
      <c r="W32" s="221">
        <f t="shared" si="17"/>
        <v>0</v>
      </c>
      <c r="X32" s="221">
        <f t="shared" si="17"/>
        <v>0</v>
      </c>
      <c r="Y32" s="221">
        <f t="shared" si="17"/>
        <v>0</v>
      </c>
      <c r="Z32" s="127"/>
      <c r="AA32" s="127"/>
      <c r="AB32" s="128"/>
      <c r="AC32" s="127"/>
      <c r="AD32" s="127"/>
      <c r="AE32" s="127"/>
    </row>
    <row r="33" spans="1:31" ht="15.75" thickBot="1">
      <c r="A33" s="100"/>
      <c r="B33" s="2"/>
      <c r="C33" s="105"/>
      <c r="D33" s="2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2"/>
      <c r="AA33" s="2"/>
      <c r="AB33" s="95"/>
      <c r="AC33" s="2"/>
      <c r="AD33" s="2"/>
      <c r="AE33" s="2"/>
    </row>
    <row r="34" spans="1:31" ht="19.5" thickBot="1">
      <c r="A34" s="101" t="s">
        <v>112</v>
      </c>
      <c r="B34" s="102"/>
      <c r="C34" s="103" t="e">
        <f>SUM(E34:Y34)</f>
        <v>#REF!</v>
      </c>
      <c r="D34" s="102"/>
      <c r="E34" s="206" t="e">
        <f>SUM(E37,E39,E41,E43,E45,E47,E49)</f>
        <v>#REF!</v>
      </c>
      <c r="F34" s="206" t="e">
        <f t="shared" ref="F34:Y34" si="18">SUM(F37,F39,F41,F43,F45,F47,F49)</f>
        <v>#REF!</v>
      </c>
      <c r="G34" s="206" t="e">
        <f t="shared" si="18"/>
        <v>#REF!</v>
      </c>
      <c r="H34" s="206" t="e">
        <f t="shared" si="18"/>
        <v>#REF!</v>
      </c>
      <c r="I34" s="206" t="e">
        <f t="shared" si="18"/>
        <v>#REF!</v>
      </c>
      <c r="J34" s="206" t="e">
        <f t="shared" si="18"/>
        <v>#REF!</v>
      </c>
      <c r="K34" s="206" t="e">
        <f t="shared" si="18"/>
        <v>#REF!</v>
      </c>
      <c r="L34" s="206" t="e">
        <f t="shared" si="18"/>
        <v>#REF!</v>
      </c>
      <c r="M34" s="206" t="e">
        <f t="shared" si="18"/>
        <v>#REF!</v>
      </c>
      <c r="N34" s="206" t="e">
        <f t="shared" si="18"/>
        <v>#REF!</v>
      </c>
      <c r="O34" s="206" t="e">
        <f t="shared" si="18"/>
        <v>#REF!</v>
      </c>
      <c r="P34" s="206" t="e">
        <f t="shared" si="18"/>
        <v>#REF!</v>
      </c>
      <c r="Q34" s="206" t="e">
        <f t="shared" si="18"/>
        <v>#REF!</v>
      </c>
      <c r="R34" s="206" t="e">
        <f t="shared" si="18"/>
        <v>#REF!</v>
      </c>
      <c r="S34" s="206" t="e">
        <f t="shared" si="18"/>
        <v>#REF!</v>
      </c>
      <c r="T34" s="206" t="e">
        <f t="shared" si="18"/>
        <v>#REF!</v>
      </c>
      <c r="U34" s="206" t="e">
        <f t="shared" si="18"/>
        <v>#REF!</v>
      </c>
      <c r="V34" s="206" t="e">
        <f t="shared" si="18"/>
        <v>#REF!</v>
      </c>
      <c r="W34" s="206" t="e">
        <f t="shared" si="18"/>
        <v>#REF!</v>
      </c>
      <c r="X34" s="206" t="e">
        <f t="shared" si="18"/>
        <v>#REF!</v>
      </c>
      <c r="Y34" s="206" t="e">
        <f t="shared" si="18"/>
        <v>#REF!</v>
      </c>
      <c r="Z34" s="2"/>
      <c r="AA34" s="2"/>
      <c r="AB34" s="2"/>
      <c r="AC34" s="2"/>
      <c r="AD34" s="2"/>
      <c r="AE34" s="2"/>
    </row>
    <row r="35" spans="1:31" ht="16.5" thickTop="1" thickBot="1">
      <c r="A35" s="1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A36" s="329" t="s">
        <v>113</v>
      </c>
      <c r="B36" s="106"/>
      <c r="C36" s="107" t="e">
        <f t="shared" ref="C36:C48" si="19">SUM(E36:Y36)</f>
        <v>#REF!</v>
      </c>
      <c r="D36" s="107"/>
      <c r="E36" s="107" t="e">
        <f>E37/$C37</f>
        <v>#REF!</v>
      </c>
      <c r="F36" s="107" t="e">
        <f t="shared" ref="F36:K36" si="20">F37/$C37</f>
        <v>#REF!</v>
      </c>
      <c r="G36" s="107" t="e">
        <f t="shared" si="20"/>
        <v>#REF!</v>
      </c>
      <c r="H36" s="107" t="e">
        <f t="shared" si="20"/>
        <v>#REF!</v>
      </c>
      <c r="I36" s="107" t="e">
        <f t="shared" si="20"/>
        <v>#REF!</v>
      </c>
      <c r="J36" s="107" t="e">
        <f t="shared" si="20"/>
        <v>#REF!</v>
      </c>
      <c r="K36" s="107" t="e">
        <f t="shared" si="20"/>
        <v>#REF!</v>
      </c>
      <c r="L36" s="107" t="e">
        <f t="shared" ref="L36:Y36" si="21">L37/$C37</f>
        <v>#REF!</v>
      </c>
      <c r="M36" s="107" t="e">
        <f t="shared" si="21"/>
        <v>#REF!</v>
      </c>
      <c r="N36" s="107" t="e">
        <f t="shared" si="21"/>
        <v>#REF!</v>
      </c>
      <c r="O36" s="107" t="e">
        <f t="shared" si="21"/>
        <v>#REF!</v>
      </c>
      <c r="P36" s="107" t="e">
        <f t="shared" si="21"/>
        <v>#REF!</v>
      </c>
      <c r="Q36" s="107" t="e">
        <f t="shared" si="21"/>
        <v>#REF!</v>
      </c>
      <c r="R36" s="107" t="e">
        <f t="shared" si="21"/>
        <v>#REF!</v>
      </c>
      <c r="S36" s="107" t="e">
        <f t="shared" si="21"/>
        <v>#REF!</v>
      </c>
      <c r="T36" s="107" t="e">
        <f t="shared" si="21"/>
        <v>#REF!</v>
      </c>
      <c r="U36" s="107" t="e">
        <f t="shared" si="21"/>
        <v>#REF!</v>
      </c>
      <c r="V36" s="107" t="e">
        <f t="shared" si="21"/>
        <v>#REF!</v>
      </c>
      <c r="W36" s="107" t="e">
        <f t="shared" si="21"/>
        <v>#REF!</v>
      </c>
      <c r="X36" s="107" t="e">
        <f t="shared" si="21"/>
        <v>#REF!</v>
      </c>
      <c r="Y36" s="107" t="e">
        <f t="shared" si="21"/>
        <v>#REF!</v>
      </c>
      <c r="Z36" s="95"/>
      <c r="AA36" s="95"/>
      <c r="AB36" s="95"/>
      <c r="AC36" s="95"/>
      <c r="AD36" s="95"/>
      <c r="AE36" s="95"/>
    </row>
    <row r="37" spans="1:31">
      <c r="A37" s="330"/>
      <c r="B37" s="108"/>
      <c r="C37" s="109" t="e">
        <f t="shared" si="19"/>
        <v>#REF!</v>
      </c>
      <c r="D37" s="109"/>
      <c r="E37" s="109" t="e">
        <f>SUM(#REF!)</f>
        <v>#REF!</v>
      </c>
      <c r="F37" s="109"/>
      <c r="G37" s="109"/>
      <c r="H37" s="109"/>
      <c r="I37" s="109"/>
      <c r="J37" s="109" t="e">
        <f>#REF!+#REF!+#REF!</f>
        <v>#REF!</v>
      </c>
      <c r="K37" s="109"/>
      <c r="L37" s="109"/>
      <c r="M37" s="109"/>
      <c r="N37" s="109"/>
      <c r="O37" s="109" t="e">
        <f>#REF!+#REF!+#REF!</f>
        <v>#REF!</v>
      </c>
      <c r="P37" s="109"/>
      <c r="Q37" s="109"/>
      <c r="R37" s="109"/>
      <c r="S37" s="109"/>
      <c r="T37" s="109" t="e">
        <f>#REF!+#REF!+#REF!</f>
        <v>#REF!</v>
      </c>
      <c r="U37" s="109"/>
      <c r="V37" s="109"/>
      <c r="W37" s="109"/>
      <c r="X37" s="109"/>
      <c r="Y37" s="109" t="e">
        <f>#REF!+#REF!+#REF!</f>
        <v>#REF!</v>
      </c>
      <c r="Z37" s="95"/>
      <c r="AA37" s="95"/>
      <c r="AB37" s="95"/>
      <c r="AC37" s="95"/>
      <c r="AD37" s="95"/>
      <c r="AE37" s="95"/>
    </row>
    <row r="38" spans="1:31" s="4" customFormat="1">
      <c r="A38" s="327" t="s">
        <v>114</v>
      </c>
      <c r="B38" s="125"/>
      <c r="C38" s="126">
        <f t="shared" si="19"/>
        <v>1</v>
      </c>
      <c r="D38" s="126"/>
      <c r="E38" s="126"/>
      <c r="F38" s="126">
        <v>0.25</v>
      </c>
      <c r="G38" s="126">
        <v>0.75</v>
      </c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 t="e">
        <f>#REF!-AC40-AC42</f>
        <v>#REF!</v>
      </c>
      <c r="AD38" s="121"/>
      <c r="AE38" s="121"/>
    </row>
    <row r="39" spans="1:31" s="4" customFormat="1">
      <c r="A39" s="331"/>
      <c r="B39" s="187"/>
      <c r="C39" s="130" t="e">
        <f t="shared" si="19"/>
        <v>#REF!</v>
      </c>
      <c r="D39" s="130"/>
      <c r="E39" s="130" t="e">
        <f>E38*$AC38</f>
        <v>#REF!</v>
      </c>
      <c r="F39" s="130" t="e">
        <f>F38*$AC38</f>
        <v>#REF!</v>
      </c>
      <c r="G39" s="130" t="e">
        <f t="shared" ref="G39:Y39" si="22">G38*$AC38</f>
        <v>#REF!</v>
      </c>
      <c r="H39" s="130" t="e">
        <f t="shared" si="22"/>
        <v>#REF!</v>
      </c>
      <c r="I39" s="130" t="e">
        <f t="shared" si="22"/>
        <v>#REF!</v>
      </c>
      <c r="J39" s="130" t="e">
        <f t="shared" si="22"/>
        <v>#REF!</v>
      </c>
      <c r="K39" s="130" t="e">
        <f t="shared" si="22"/>
        <v>#REF!</v>
      </c>
      <c r="L39" s="130" t="e">
        <f t="shared" si="22"/>
        <v>#REF!</v>
      </c>
      <c r="M39" s="130" t="e">
        <f t="shared" si="22"/>
        <v>#REF!</v>
      </c>
      <c r="N39" s="130" t="e">
        <f t="shared" si="22"/>
        <v>#REF!</v>
      </c>
      <c r="O39" s="130" t="e">
        <f t="shared" si="22"/>
        <v>#REF!</v>
      </c>
      <c r="P39" s="130" t="e">
        <f t="shared" si="22"/>
        <v>#REF!</v>
      </c>
      <c r="Q39" s="130" t="e">
        <f t="shared" si="22"/>
        <v>#REF!</v>
      </c>
      <c r="R39" s="130" t="e">
        <f t="shared" si="22"/>
        <v>#REF!</v>
      </c>
      <c r="S39" s="130" t="e">
        <f t="shared" si="22"/>
        <v>#REF!</v>
      </c>
      <c r="T39" s="130" t="e">
        <f t="shared" si="22"/>
        <v>#REF!</v>
      </c>
      <c r="U39" s="130" t="e">
        <f t="shared" si="22"/>
        <v>#REF!</v>
      </c>
      <c r="V39" s="130" t="e">
        <f t="shared" si="22"/>
        <v>#REF!</v>
      </c>
      <c r="W39" s="130" t="e">
        <f t="shared" si="22"/>
        <v>#REF!</v>
      </c>
      <c r="X39" s="130" t="e">
        <f t="shared" si="22"/>
        <v>#REF!</v>
      </c>
      <c r="Y39" s="130" t="e">
        <f t="shared" si="22"/>
        <v>#REF!</v>
      </c>
      <c r="Z39" s="121"/>
      <c r="AA39" s="121"/>
      <c r="AB39" s="121"/>
      <c r="AC39" s="121"/>
      <c r="AD39" s="121"/>
      <c r="AE39" s="121"/>
    </row>
    <row r="40" spans="1:31" s="4" customFormat="1">
      <c r="A40" s="325" t="s">
        <v>115</v>
      </c>
      <c r="B40" s="187"/>
      <c r="C40" s="126">
        <f t="shared" si="19"/>
        <v>1</v>
      </c>
      <c r="D40" s="126"/>
      <c r="E40" s="126"/>
      <c r="F40" s="126"/>
      <c r="G40" s="126">
        <v>1</v>
      </c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 t="e">
        <f>#REF!+#REF!</f>
        <v>#REF!</v>
      </c>
      <c r="AD40" s="121"/>
      <c r="AE40" s="121"/>
    </row>
    <row r="41" spans="1:31" s="4" customFormat="1">
      <c r="A41" s="331"/>
      <c r="B41" s="187"/>
      <c r="C41" s="130" t="e">
        <f>SUM(E41:Y41)</f>
        <v>#REF!</v>
      </c>
      <c r="D41" s="130"/>
      <c r="E41" s="130" t="e">
        <f t="shared" ref="E41:Y41" si="23">E40*$AC40</f>
        <v>#REF!</v>
      </c>
      <c r="F41" s="130" t="e">
        <f t="shared" si="23"/>
        <v>#REF!</v>
      </c>
      <c r="G41" s="130" t="e">
        <f>G40*$AC40</f>
        <v>#REF!</v>
      </c>
      <c r="H41" s="130" t="e">
        <f t="shared" si="23"/>
        <v>#REF!</v>
      </c>
      <c r="I41" s="130" t="e">
        <f t="shared" si="23"/>
        <v>#REF!</v>
      </c>
      <c r="J41" s="130" t="e">
        <f t="shared" si="23"/>
        <v>#REF!</v>
      </c>
      <c r="K41" s="130" t="e">
        <f t="shared" si="23"/>
        <v>#REF!</v>
      </c>
      <c r="L41" s="130" t="e">
        <f t="shared" si="23"/>
        <v>#REF!</v>
      </c>
      <c r="M41" s="130" t="e">
        <f t="shared" si="23"/>
        <v>#REF!</v>
      </c>
      <c r="N41" s="130" t="e">
        <f t="shared" si="23"/>
        <v>#REF!</v>
      </c>
      <c r="O41" s="130" t="e">
        <f t="shared" si="23"/>
        <v>#REF!</v>
      </c>
      <c r="P41" s="130" t="e">
        <f t="shared" si="23"/>
        <v>#REF!</v>
      </c>
      <c r="Q41" s="130" t="e">
        <f t="shared" si="23"/>
        <v>#REF!</v>
      </c>
      <c r="R41" s="130" t="e">
        <f t="shared" si="23"/>
        <v>#REF!</v>
      </c>
      <c r="S41" s="130" t="e">
        <f t="shared" si="23"/>
        <v>#REF!</v>
      </c>
      <c r="T41" s="130" t="e">
        <f t="shared" si="23"/>
        <v>#REF!</v>
      </c>
      <c r="U41" s="130" t="e">
        <f t="shared" si="23"/>
        <v>#REF!</v>
      </c>
      <c r="V41" s="130" t="e">
        <f t="shared" si="23"/>
        <v>#REF!</v>
      </c>
      <c r="W41" s="130" t="e">
        <f t="shared" si="23"/>
        <v>#REF!</v>
      </c>
      <c r="X41" s="130" t="e">
        <f t="shared" si="23"/>
        <v>#REF!</v>
      </c>
      <c r="Y41" s="130" t="e">
        <f t="shared" si="23"/>
        <v>#REF!</v>
      </c>
      <c r="Z41" s="121"/>
      <c r="AA41" s="121"/>
      <c r="AB41" s="121"/>
      <c r="AC41" s="121"/>
      <c r="AD41" s="121"/>
      <c r="AE41" s="121"/>
    </row>
    <row r="42" spans="1:31" s="4" customFormat="1">
      <c r="A42" s="327" t="s">
        <v>116</v>
      </c>
      <c r="B42" s="187"/>
      <c r="C42" s="126">
        <f t="shared" si="19"/>
        <v>0.99999999999999989</v>
      </c>
      <c r="D42" s="130"/>
      <c r="E42" s="189"/>
      <c r="F42" s="189">
        <v>0.25</v>
      </c>
      <c r="G42" s="189">
        <v>0.25</v>
      </c>
      <c r="H42" s="189">
        <v>0.1</v>
      </c>
      <c r="I42" s="189">
        <v>0.1</v>
      </c>
      <c r="J42" s="189">
        <v>0.1</v>
      </c>
      <c r="K42" s="189">
        <v>0.1</v>
      </c>
      <c r="L42" s="189">
        <v>0.1</v>
      </c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24"/>
      <c r="AA42" s="124"/>
      <c r="AB42" s="121"/>
      <c r="AC42" s="188" t="e">
        <f>#REF!+#REF!+#REF!+#REF!+#REF!</f>
        <v>#REF!</v>
      </c>
      <c r="AD42" s="121"/>
      <c r="AE42" s="121"/>
    </row>
    <row r="43" spans="1:31" s="4" customFormat="1">
      <c r="A43" s="331"/>
      <c r="B43" s="187"/>
      <c r="C43" s="130" t="e">
        <f t="shared" si="19"/>
        <v>#REF!</v>
      </c>
      <c r="D43" s="130"/>
      <c r="E43" s="130" t="e">
        <f t="shared" ref="E43:Y43" si="24">E42*$AC42</f>
        <v>#REF!</v>
      </c>
      <c r="F43" s="130" t="e">
        <f t="shared" si="24"/>
        <v>#REF!</v>
      </c>
      <c r="G43" s="130" t="e">
        <f t="shared" si="24"/>
        <v>#REF!</v>
      </c>
      <c r="H43" s="130" t="e">
        <f t="shared" si="24"/>
        <v>#REF!</v>
      </c>
      <c r="I43" s="130" t="e">
        <f t="shared" si="24"/>
        <v>#REF!</v>
      </c>
      <c r="J43" s="130" t="e">
        <f t="shared" si="24"/>
        <v>#REF!</v>
      </c>
      <c r="K43" s="130" t="e">
        <f t="shared" si="24"/>
        <v>#REF!</v>
      </c>
      <c r="L43" s="130" t="e">
        <f t="shared" si="24"/>
        <v>#REF!</v>
      </c>
      <c r="M43" s="130" t="e">
        <f t="shared" si="24"/>
        <v>#REF!</v>
      </c>
      <c r="N43" s="130" t="e">
        <f t="shared" si="24"/>
        <v>#REF!</v>
      </c>
      <c r="O43" s="130" t="e">
        <f t="shared" si="24"/>
        <v>#REF!</v>
      </c>
      <c r="P43" s="130" t="e">
        <f t="shared" si="24"/>
        <v>#REF!</v>
      </c>
      <c r="Q43" s="130" t="e">
        <f t="shared" si="24"/>
        <v>#REF!</v>
      </c>
      <c r="R43" s="130" t="e">
        <f t="shared" si="24"/>
        <v>#REF!</v>
      </c>
      <c r="S43" s="130" t="e">
        <f t="shared" si="24"/>
        <v>#REF!</v>
      </c>
      <c r="T43" s="130" t="e">
        <f t="shared" si="24"/>
        <v>#REF!</v>
      </c>
      <c r="U43" s="130" t="e">
        <f t="shared" si="24"/>
        <v>#REF!</v>
      </c>
      <c r="V43" s="130" t="e">
        <f t="shared" si="24"/>
        <v>#REF!</v>
      </c>
      <c r="W43" s="130" t="e">
        <f t="shared" si="24"/>
        <v>#REF!</v>
      </c>
      <c r="X43" s="130" t="e">
        <f t="shared" si="24"/>
        <v>#REF!</v>
      </c>
      <c r="Y43" s="130" t="e">
        <f t="shared" si="24"/>
        <v>#REF!</v>
      </c>
      <c r="Z43" s="121"/>
      <c r="AA43" s="121"/>
      <c r="AB43" s="121"/>
      <c r="AC43" s="121"/>
      <c r="AD43" s="121"/>
      <c r="AE43" s="121"/>
    </row>
    <row r="44" spans="1:31" s="1" customFormat="1">
      <c r="A44" s="327" t="s">
        <v>117</v>
      </c>
      <c r="B44" s="187"/>
      <c r="C44" s="126">
        <f t="shared" si="19"/>
        <v>1</v>
      </c>
      <c r="D44" s="130"/>
      <c r="E44" s="212"/>
      <c r="F44" s="212">
        <v>0.75</v>
      </c>
      <c r="G44" s="212">
        <v>0.25</v>
      </c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128"/>
      <c r="AA44" s="128"/>
      <c r="AB44" s="128"/>
      <c r="AC44" s="213">
        <v>250000</v>
      </c>
      <c r="AD44" s="128"/>
      <c r="AE44" s="128"/>
    </row>
    <row r="45" spans="1:31" s="1" customFormat="1">
      <c r="A45" s="331"/>
      <c r="B45" s="187"/>
      <c r="C45" s="230">
        <f t="shared" si="19"/>
        <v>250000</v>
      </c>
      <c r="D45" s="130"/>
      <c r="E45" s="130">
        <f t="shared" ref="E45:Y45" si="25">E44*$AC44</f>
        <v>0</v>
      </c>
      <c r="F45" s="130">
        <f>F44*$AC44</f>
        <v>187500</v>
      </c>
      <c r="G45" s="130">
        <f t="shared" si="25"/>
        <v>62500</v>
      </c>
      <c r="H45" s="130">
        <f t="shared" si="25"/>
        <v>0</v>
      </c>
      <c r="I45" s="130">
        <f t="shared" si="25"/>
        <v>0</v>
      </c>
      <c r="J45" s="130">
        <f t="shared" si="25"/>
        <v>0</v>
      </c>
      <c r="K45" s="130">
        <f t="shared" si="25"/>
        <v>0</v>
      </c>
      <c r="L45" s="130">
        <f t="shared" si="25"/>
        <v>0</v>
      </c>
      <c r="M45" s="130">
        <f t="shared" si="25"/>
        <v>0</v>
      </c>
      <c r="N45" s="130">
        <f t="shared" si="25"/>
        <v>0</v>
      </c>
      <c r="O45" s="130">
        <f t="shared" si="25"/>
        <v>0</v>
      </c>
      <c r="P45" s="130">
        <f t="shared" si="25"/>
        <v>0</v>
      </c>
      <c r="Q45" s="130">
        <f t="shared" si="25"/>
        <v>0</v>
      </c>
      <c r="R45" s="130">
        <f t="shared" si="25"/>
        <v>0</v>
      </c>
      <c r="S45" s="130">
        <f t="shared" si="25"/>
        <v>0</v>
      </c>
      <c r="T45" s="130">
        <f t="shared" si="25"/>
        <v>0</v>
      </c>
      <c r="U45" s="130">
        <f t="shared" si="25"/>
        <v>0</v>
      </c>
      <c r="V45" s="130">
        <f t="shared" si="25"/>
        <v>0</v>
      </c>
      <c r="W45" s="130">
        <f t="shared" si="25"/>
        <v>0</v>
      </c>
      <c r="X45" s="130">
        <f t="shared" si="25"/>
        <v>0</v>
      </c>
      <c r="Y45" s="130">
        <f t="shared" si="25"/>
        <v>0</v>
      </c>
      <c r="Z45" s="128"/>
      <c r="AA45" s="128"/>
      <c r="AB45" s="128"/>
      <c r="AC45" s="128"/>
      <c r="AD45" s="128"/>
      <c r="AE45" s="128"/>
    </row>
    <row r="46" spans="1:31" s="4" customFormat="1">
      <c r="A46" s="323" t="s">
        <v>159</v>
      </c>
      <c r="B46" s="119"/>
      <c r="C46" s="120">
        <f t="shared" si="19"/>
        <v>1</v>
      </c>
      <c r="D46" s="120"/>
      <c r="E46" s="120"/>
      <c r="F46" s="120">
        <v>0.25</v>
      </c>
      <c r="G46" s="120">
        <v>0.25</v>
      </c>
      <c r="H46" s="120">
        <v>0.25</v>
      </c>
      <c r="I46" s="120">
        <v>0.25</v>
      </c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121"/>
      <c r="AB46" s="121"/>
      <c r="AC46" s="188">
        <f>2000000</f>
        <v>2000000</v>
      </c>
      <c r="AD46" s="121"/>
      <c r="AE46" s="121"/>
    </row>
    <row r="47" spans="1:31" s="4" customFormat="1">
      <c r="A47" s="324"/>
      <c r="B47" s="122"/>
      <c r="C47" s="123">
        <f t="shared" si="19"/>
        <v>2000000</v>
      </c>
      <c r="D47" s="123"/>
      <c r="E47" s="123">
        <f t="shared" ref="E47:Y47" si="26">E46*$AC46</f>
        <v>0</v>
      </c>
      <c r="F47" s="123">
        <f t="shared" si="26"/>
        <v>500000</v>
      </c>
      <c r="G47" s="123">
        <f t="shared" si="26"/>
        <v>500000</v>
      </c>
      <c r="H47" s="123">
        <f t="shared" si="26"/>
        <v>500000</v>
      </c>
      <c r="I47" s="123">
        <f t="shared" si="26"/>
        <v>500000</v>
      </c>
      <c r="J47" s="123">
        <f t="shared" si="26"/>
        <v>0</v>
      </c>
      <c r="K47" s="123">
        <f t="shared" si="26"/>
        <v>0</v>
      </c>
      <c r="L47" s="123">
        <f t="shared" si="26"/>
        <v>0</v>
      </c>
      <c r="M47" s="123">
        <f t="shared" si="26"/>
        <v>0</v>
      </c>
      <c r="N47" s="123">
        <f t="shared" si="26"/>
        <v>0</v>
      </c>
      <c r="O47" s="123">
        <f t="shared" si="26"/>
        <v>0</v>
      </c>
      <c r="P47" s="123">
        <f t="shared" si="26"/>
        <v>0</v>
      </c>
      <c r="Q47" s="123">
        <f t="shared" si="26"/>
        <v>0</v>
      </c>
      <c r="R47" s="123">
        <f t="shared" si="26"/>
        <v>0</v>
      </c>
      <c r="S47" s="123">
        <f t="shared" si="26"/>
        <v>0</v>
      </c>
      <c r="T47" s="123">
        <f t="shared" si="26"/>
        <v>0</v>
      </c>
      <c r="U47" s="123">
        <f t="shared" si="26"/>
        <v>0</v>
      </c>
      <c r="V47" s="123">
        <f t="shared" si="26"/>
        <v>0</v>
      </c>
      <c r="W47" s="123">
        <f t="shared" si="26"/>
        <v>0</v>
      </c>
      <c r="X47" s="123">
        <f t="shared" si="26"/>
        <v>0</v>
      </c>
      <c r="Y47" s="123">
        <f t="shared" si="26"/>
        <v>0</v>
      </c>
      <c r="Z47" s="121"/>
      <c r="AA47" s="121"/>
      <c r="AB47" s="121"/>
      <c r="AC47" s="121"/>
      <c r="AD47" s="121"/>
      <c r="AE47" s="121"/>
    </row>
    <row r="48" spans="1:31" s="1" customFormat="1">
      <c r="A48" s="325" t="s">
        <v>199</v>
      </c>
      <c r="B48" s="187"/>
      <c r="C48" s="126">
        <f t="shared" si="19"/>
        <v>1</v>
      </c>
      <c r="D48" s="126"/>
      <c r="E48" s="126"/>
      <c r="F48" s="126">
        <v>0.5</v>
      </c>
      <c r="G48" s="126">
        <v>0.5</v>
      </c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8"/>
      <c r="AA48" s="128"/>
      <c r="AB48" s="128"/>
      <c r="AC48" s="128" t="e">
        <f>ROUND((F6+G6+F19+G19)*2%,2)</f>
        <v>#REF!</v>
      </c>
      <c r="AD48" s="128"/>
      <c r="AE48" s="128"/>
    </row>
    <row r="49" spans="1:31" s="1" customFormat="1" ht="15.75" thickBot="1">
      <c r="A49" s="326" t="s">
        <v>118</v>
      </c>
      <c r="B49" s="140"/>
      <c r="C49" s="231" t="e">
        <f>SUM(E49:Y49)</f>
        <v>#REF!</v>
      </c>
      <c r="D49" s="214"/>
      <c r="E49" s="214" t="e">
        <f t="shared" ref="E49:Y49" si="27">E48*$AC48</f>
        <v>#REF!</v>
      </c>
      <c r="F49" s="214" t="e">
        <f>F48*$AC48</f>
        <v>#REF!</v>
      </c>
      <c r="G49" s="214" t="e">
        <f t="shared" si="27"/>
        <v>#REF!</v>
      </c>
      <c r="H49" s="214" t="e">
        <f t="shared" si="27"/>
        <v>#REF!</v>
      </c>
      <c r="I49" s="214" t="e">
        <f t="shared" si="27"/>
        <v>#REF!</v>
      </c>
      <c r="J49" s="214" t="e">
        <f t="shared" si="27"/>
        <v>#REF!</v>
      </c>
      <c r="K49" s="214" t="e">
        <f t="shared" si="27"/>
        <v>#REF!</v>
      </c>
      <c r="L49" s="214" t="e">
        <f t="shared" si="27"/>
        <v>#REF!</v>
      </c>
      <c r="M49" s="214" t="e">
        <f t="shared" si="27"/>
        <v>#REF!</v>
      </c>
      <c r="N49" s="214" t="e">
        <f t="shared" si="27"/>
        <v>#REF!</v>
      </c>
      <c r="O49" s="214" t="e">
        <f t="shared" si="27"/>
        <v>#REF!</v>
      </c>
      <c r="P49" s="214" t="e">
        <f t="shared" si="27"/>
        <v>#REF!</v>
      </c>
      <c r="Q49" s="214" t="e">
        <f t="shared" si="27"/>
        <v>#REF!</v>
      </c>
      <c r="R49" s="214" t="e">
        <f t="shared" si="27"/>
        <v>#REF!</v>
      </c>
      <c r="S49" s="214" t="e">
        <f t="shared" si="27"/>
        <v>#REF!</v>
      </c>
      <c r="T49" s="214" t="e">
        <f t="shared" si="27"/>
        <v>#REF!</v>
      </c>
      <c r="U49" s="214" t="e">
        <f t="shared" si="27"/>
        <v>#REF!</v>
      </c>
      <c r="V49" s="214" t="e">
        <f t="shared" si="27"/>
        <v>#REF!</v>
      </c>
      <c r="W49" s="214" t="e">
        <f t="shared" si="27"/>
        <v>#REF!</v>
      </c>
      <c r="X49" s="214" t="e">
        <f t="shared" si="27"/>
        <v>#REF!</v>
      </c>
      <c r="Y49" s="214" t="e">
        <f t="shared" si="27"/>
        <v>#REF!</v>
      </c>
      <c r="Z49" s="128"/>
      <c r="AA49" s="128"/>
      <c r="AB49" s="215"/>
      <c r="AC49" s="128"/>
      <c r="AD49" s="128"/>
      <c r="AE49" s="128"/>
    </row>
    <row r="50" spans="1:31" ht="15.75" thickBot="1">
      <c r="A50" s="111"/>
      <c r="B50" s="2"/>
      <c r="C50" s="105"/>
      <c r="D50" s="2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95"/>
      <c r="AA50" s="95"/>
      <c r="AB50" s="95"/>
      <c r="AC50" s="95"/>
      <c r="AD50" s="95"/>
      <c r="AE50" s="95"/>
    </row>
    <row r="51" spans="1:31" ht="19.5" thickBot="1">
      <c r="A51" s="112" t="s">
        <v>119</v>
      </c>
      <c r="B51" s="113"/>
      <c r="C51" s="208" t="e">
        <f>SUM(E51:Y51)</f>
        <v>#REF!</v>
      </c>
      <c r="D51" s="208"/>
      <c r="E51" s="208" t="e">
        <f t="shared" ref="E51:Y51" si="28">E6+E34+E19</f>
        <v>#REF!</v>
      </c>
      <c r="F51" s="208" t="e">
        <f t="shared" si="28"/>
        <v>#REF!</v>
      </c>
      <c r="G51" s="208" t="e">
        <f t="shared" si="28"/>
        <v>#REF!</v>
      </c>
      <c r="H51" s="208" t="e">
        <f t="shared" si="28"/>
        <v>#REF!</v>
      </c>
      <c r="I51" s="208" t="e">
        <f t="shared" si="28"/>
        <v>#REF!</v>
      </c>
      <c r="J51" s="208" t="e">
        <f t="shared" si="28"/>
        <v>#REF!</v>
      </c>
      <c r="K51" s="208" t="e">
        <f t="shared" si="28"/>
        <v>#REF!</v>
      </c>
      <c r="L51" s="208" t="e">
        <f t="shared" si="28"/>
        <v>#REF!</v>
      </c>
      <c r="M51" s="208" t="e">
        <f t="shared" si="28"/>
        <v>#REF!</v>
      </c>
      <c r="N51" s="208" t="e">
        <f t="shared" si="28"/>
        <v>#REF!</v>
      </c>
      <c r="O51" s="208" t="e">
        <f t="shared" si="28"/>
        <v>#REF!</v>
      </c>
      <c r="P51" s="208" t="e">
        <f t="shared" si="28"/>
        <v>#REF!</v>
      </c>
      <c r="Q51" s="208" t="e">
        <f t="shared" si="28"/>
        <v>#REF!</v>
      </c>
      <c r="R51" s="208" t="e">
        <f t="shared" si="28"/>
        <v>#REF!</v>
      </c>
      <c r="S51" s="208" t="e">
        <f t="shared" si="28"/>
        <v>#REF!</v>
      </c>
      <c r="T51" s="208" t="e">
        <f t="shared" si="28"/>
        <v>#REF!</v>
      </c>
      <c r="U51" s="208" t="e">
        <f t="shared" si="28"/>
        <v>#REF!</v>
      </c>
      <c r="V51" s="208" t="e">
        <f t="shared" si="28"/>
        <v>#REF!</v>
      </c>
      <c r="W51" s="208" t="e">
        <f t="shared" si="28"/>
        <v>#REF!</v>
      </c>
      <c r="X51" s="208" t="e">
        <f t="shared" si="28"/>
        <v>#REF!</v>
      </c>
      <c r="Y51" s="208" t="e">
        <f t="shared" si="28"/>
        <v>#REF!</v>
      </c>
      <c r="Z51" s="2"/>
      <c r="AA51" s="2"/>
      <c r="AB51" s="2"/>
      <c r="AC51" s="2"/>
      <c r="AD51" s="2"/>
      <c r="AE51" s="2"/>
    </row>
    <row r="52" spans="1:31" ht="15.75" thickBot="1">
      <c r="A52" s="111"/>
      <c r="B52" s="2"/>
      <c r="C52" s="105"/>
      <c r="D52" s="2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95"/>
      <c r="AA52" s="95"/>
      <c r="AB52" s="95"/>
      <c r="AC52" s="95"/>
      <c r="AD52" s="95"/>
      <c r="AE52" s="95"/>
    </row>
    <row r="53" spans="1:31" ht="19.5" thickBot="1">
      <c r="A53" s="112" t="s">
        <v>120</v>
      </c>
      <c r="B53" s="113"/>
      <c r="C53" s="114" t="e">
        <f>SUM(E53:Y53)</f>
        <v>#REF!</v>
      </c>
      <c r="D53" s="113"/>
      <c r="E53" s="114" t="e">
        <f>E51-E47-E37-E49</f>
        <v>#REF!</v>
      </c>
      <c r="F53" s="114" t="e">
        <f>F51-F47-F37-F49</f>
        <v>#REF!</v>
      </c>
      <c r="G53" s="114" t="e">
        <f t="shared" ref="G53:Y53" si="29">G51-G47-G37-G49</f>
        <v>#REF!</v>
      </c>
      <c r="H53" s="114" t="e">
        <f t="shared" si="29"/>
        <v>#REF!</v>
      </c>
      <c r="I53" s="114" t="e">
        <f t="shared" si="29"/>
        <v>#REF!</v>
      </c>
      <c r="J53" s="114" t="e">
        <f t="shared" si="29"/>
        <v>#REF!</v>
      </c>
      <c r="K53" s="114" t="e">
        <f t="shared" si="29"/>
        <v>#REF!</v>
      </c>
      <c r="L53" s="114" t="e">
        <f t="shared" si="29"/>
        <v>#REF!</v>
      </c>
      <c r="M53" s="114" t="e">
        <f t="shared" si="29"/>
        <v>#REF!</v>
      </c>
      <c r="N53" s="114" t="e">
        <f t="shared" si="29"/>
        <v>#REF!</v>
      </c>
      <c r="O53" s="114" t="e">
        <f t="shared" si="29"/>
        <v>#REF!</v>
      </c>
      <c r="P53" s="114" t="e">
        <f t="shared" si="29"/>
        <v>#REF!</v>
      </c>
      <c r="Q53" s="114" t="e">
        <f t="shared" si="29"/>
        <v>#REF!</v>
      </c>
      <c r="R53" s="114" t="e">
        <f t="shared" si="29"/>
        <v>#REF!</v>
      </c>
      <c r="S53" s="114" t="e">
        <f t="shared" si="29"/>
        <v>#REF!</v>
      </c>
      <c r="T53" s="114" t="e">
        <f t="shared" si="29"/>
        <v>#REF!</v>
      </c>
      <c r="U53" s="114" t="e">
        <f t="shared" si="29"/>
        <v>#REF!</v>
      </c>
      <c r="V53" s="114" t="e">
        <f t="shared" si="29"/>
        <v>#REF!</v>
      </c>
      <c r="W53" s="114" t="e">
        <f t="shared" si="29"/>
        <v>#REF!</v>
      </c>
      <c r="X53" s="114" t="e">
        <f t="shared" si="29"/>
        <v>#REF!</v>
      </c>
      <c r="Y53" s="114" t="e">
        <f t="shared" si="29"/>
        <v>#REF!</v>
      </c>
      <c r="Z53" s="2"/>
      <c r="AA53" s="2"/>
      <c r="AB53" s="2"/>
      <c r="AC53" s="2"/>
      <c r="AD53" s="2"/>
      <c r="AE53" s="2"/>
    </row>
    <row r="54" spans="1:3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2">
        <v>5</v>
      </c>
      <c r="B55" s="2"/>
      <c r="C55" s="2"/>
      <c r="D55" s="2"/>
      <c r="E55" s="115">
        <f>E32+E17</f>
        <v>0</v>
      </c>
      <c r="F55" s="115" t="e">
        <f>F32+F17</f>
        <v>#REF!</v>
      </c>
      <c r="G55" s="115" t="e">
        <f t="shared" ref="G55:Y55" si="30">G32+G17</f>
        <v>#REF!</v>
      </c>
      <c r="H55" s="115" t="e">
        <f t="shared" si="30"/>
        <v>#REF!</v>
      </c>
      <c r="I55" s="115" t="e">
        <f t="shared" si="30"/>
        <v>#REF!</v>
      </c>
      <c r="J55" s="115" t="e">
        <f t="shared" si="30"/>
        <v>#REF!</v>
      </c>
      <c r="K55" s="115" t="e">
        <f t="shared" si="30"/>
        <v>#REF!</v>
      </c>
      <c r="L55" s="115" t="e">
        <f t="shared" si="30"/>
        <v>#REF!</v>
      </c>
      <c r="M55" s="115" t="e">
        <f t="shared" si="30"/>
        <v>#REF!</v>
      </c>
      <c r="N55" s="115" t="e">
        <f t="shared" si="30"/>
        <v>#REF!</v>
      </c>
      <c r="O55" s="115" t="e">
        <f t="shared" si="30"/>
        <v>#REF!</v>
      </c>
      <c r="P55" s="115" t="e">
        <f t="shared" si="30"/>
        <v>#REF!</v>
      </c>
      <c r="Q55" s="115" t="e">
        <f t="shared" si="30"/>
        <v>#REF!</v>
      </c>
      <c r="R55" s="115" t="e">
        <f t="shared" si="30"/>
        <v>#REF!</v>
      </c>
      <c r="S55" s="115" t="e">
        <f t="shared" si="30"/>
        <v>#REF!</v>
      </c>
      <c r="T55" s="115" t="e">
        <f t="shared" si="30"/>
        <v>#REF!</v>
      </c>
      <c r="U55" s="115" t="e">
        <f t="shared" si="30"/>
        <v>#REF!</v>
      </c>
      <c r="V55" s="115" t="e">
        <f t="shared" si="30"/>
        <v>#REF!</v>
      </c>
      <c r="W55" s="115" t="e">
        <f t="shared" si="30"/>
        <v>#REF!</v>
      </c>
      <c r="X55" s="115" t="e">
        <f t="shared" si="30"/>
        <v>#REF!</v>
      </c>
      <c r="Y55" s="115" t="e">
        <f t="shared" si="30"/>
        <v>#REF!</v>
      </c>
      <c r="Z55" s="2"/>
      <c r="AA55" s="2"/>
      <c r="AB55" s="2"/>
      <c r="AC55" s="2"/>
      <c r="AD55" s="2"/>
      <c r="AE55" s="2"/>
    </row>
    <row r="56" spans="1:31">
      <c r="A56" s="2">
        <v>10</v>
      </c>
      <c r="B56" s="2"/>
      <c r="C56" s="2"/>
      <c r="D56" s="2"/>
      <c r="E56" s="115" t="e">
        <f>E28+E26+E15+E13</f>
        <v>#REF!</v>
      </c>
      <c r="F56" s="115" t="e">
        <f>F28+F26+F15+F13</f>
        <v>#REF!</v>
      </c>
      <c r="G56" s="115" t="e">
        <f t="shared" ref="G56:Y56" si="31">G28+G26+G15+G13</f>
        <v>#REF!</v>
      </c>
      <c r="H56" s="115" t="e">
        <f t="shared" si="31"/>
        <v>#REF!</v>
      </c>
      <c r="I56" s="115" t="e">
        <f t="shared" si="31"/>
        <v>#REF!</v>
      </c>
      <c r="J56" s="115" t="e">
        <f t="shared" si="31"/>
        <v>#REF!</v>
      </c>
      <c r="K56" s="115" t="e">
        <f t="shared" si="31"/>
        <v>#REF!</v>
      </c>
      <c r="L56" s="115" t="e">
        <f t="shared" si="31"/>
        <v>#REF!</v>
      </c>
      <c r="M56" s="115" t="e">
        <f t="shared" si="31"/>
        <v>#REF!</v>
      </c>
      <c r="N56" s="115" t="e">
        <f t="shared" si="31"/>
        <v>#REF!</v>
      </c>
      <c r="O56" s="115" t="e">
        <f t="shared" si="31"/>
        <v>#REF!</v>
      </c>
      <c r="P56" s="115" t="e">
        <f t="shared" si="31"/>
        <v>#REF!</v>
      </c>
      <c r="Q56" s="115" t="e">
        <f t="shared" si="31"/>
        <v>#REF!</v>
      </c>
      <c r="R56" s="115" t="e">
        <f t="shared" si="31"/>
        <v>#REF!</v>
      </c>
      <c r="S56" s="115" t="e">
        <f t="shared" si="31"/>
        <v>#REF!</v>
      </c>
      <c r="T56" s="115" t="e">
        <f t="shared" si="31"/>
        <v>#REF!</v>
      </c>
      <c r="U56" s="115" t="e">
        <f t="shared" si="31"/>
        <v>#REF!</v>
      </c>
      <c r="V56" s="115" t="e">
        <f t="shared" si="31"/>
        <v>#REF!</v>
      </c>
      <c r="W56" s="115" t="e">
        <f t="shared" si="31"/>
        <v>#REF!</v>
      </c>
      <c r="X56" s="115" t="e">
        <f t="shared" si="31"/>
        <v>#REF!</v>
      </c>
      <c r="Y56" s="115" t="e">
        <f t="shared" si="31"/>
        <v>#REF!</v>
      </c>
      <c r="Z56" s="2"/>
      <c r="AA56" s="2"/>
      <c r="AB56" s="2"/>
      <c r="AC56" s="2"/>
      <c r="AD56" s="2"/>
      <c r="AE56" s="2"/>
    </row>
    <row r="57" spans="1:31">
      <c r="A57" s="2">
        <v>20</v>
      </c>
      <c r="B57" s="2"/>
      <c r="C57" s="2"/>
      <c r="D57" s="2"/>
      <c r="E57" s="115" t="e">
        <f>E53-SUM(E55:E56)</f>
        <v>#REF!</v>
      </c>
      <c r="F57" s="115" t="e">
        <f>F53-SUM(F55:F56)</f>
        <v>#REF!</v>
      </c>
      <c r="G57" s="115" t="e">
        <f>G53-SUM(G55:G56)</f>
        <v>#REF!</v>
      </c>
      <c r="H57" s="115" t="e">
        <f t="shared" ref="H57:Y57" si="32">H53-SUM(H55:H56)</f>
        <v>#REF!</v>
      </c>
      <c r="I57" s="115" t="e">
        <f t="shared" si="32"/>
        <v>#REF!</v>
      </c>
      <c r="J57" s="115" t="e">
        <f t="shared" si="32"/>
        <v>#REF!</v>
      </c>
      <c r="K57" s="115" t="e">
        <f t="shared" si="32"/>
        <v>#REF!</v>
      </c>
      <c r="L57" s="115" t="e">
        <f t="shared" si="32"/>
        <v>#REF!</v>
      </c>
      <c r="M57" s="115" t="e">
        <f t="shared" si="32"/>
        <v>#REF!</v>
      </c>
      <c r="N57" s="115" t="e">
        <f t="shared" si="32"/>
        <v>#REF!</v>
      </c>
      <c r="O57" s="115" t="e">
        <f t="shared" si="32"/>
        <v>#REF!</v>
      </c>
      <c r="P57" s="115" t="e">
        <f t="shared" si="32"/>
        <v>#REF!</v>
      </c>
      <c r="Q57" s="115" t="e">
        <f t="shared" si="32"/>
        <v>#REF!</v>
      </c>
      <c r="R57" s="115" t="e">
        <f t="shared" si="32"/>
        <v>#REF!</v>
      </c>
      <c r="S57" s="115" t="e">
        <f t="shared" si="32"/>
        <v>#REF!</v>
      </c>
      <c r="T57" s="115" t="e">
        <f t="shared" si="32"/>
        <v>#REF!</v>
      </c>
      <c r="U57" s="115" t="e">
        <f t="shared" si="32"/>
        <v>#REF!</v>
      </c>
      <c r="V57" s="115" t="e">
        <f t="shared" si="32"/>
        <v>#REF!</v>
      </c>
      <c r="W57" s="115" t="e">
        <f t="shared" si="32"/>
        <v>#REF!</v>
      </c>
      <c r="X57" s="115" t="e">
        <f t="shared" si="32"/>
        <v>#REF!</v>
      </c>
      <c r="Y57" s="115" t="e">
        <f t="shared" si="32"/>
        <v>#REF!</v>
      </c>
      <c r="Z57" s="2"/>
      <c r="AA57" s="2"/>
      <c r="AB57" s="2"/>
      <c r="AC57" s="2"/>
      <c r="AD57" s="2"/>
      <c r="AE57" s="2"/>
    </row>
    <row r="58" spans="1:3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2"/>
      <c r="B59" s="2"/>
      <c r="C59" s="116"/>
      <c r="D59" s="2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2"/>
      <c r="AA59" s="2"/>
      <c r="AB59" s="2"/>
      <c r="AC59" s="2"/>
      <c r="AD59" s="2"/>
      <c r="AE59" s="2"/>
    </row>
    <row r="60" spans="1:3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2" t="s">
        <v>121</v>
      </c>
      <c r="B62" s="2"/>
      <c r="C62" s="2"/>
      <c r="D62" s="2"/>
      <c r="E62" s="118">
        <v>0.05</v>
      </c>
      <c r="F62" s="118">
        <v>0.05</v>
      </c>
      <c r="G62" s="118">
        <v>0.05</v>
      </c>
      <c r="H62" s="118">
        <v>0.05</v>
      </c>
      <c r="I62" s="118">
        <v>0.04</v>
      </c>
      <c r="J62" s="118">
        <v>0.04</v>
      </c>
      <c r="K62" s="118">
        <v>0.04</v>
      </c>
      <c r="L62" s="118">
        <v>0.04</v>
      </c>
      <c r="M62" s="118">
        <v>0.04</v>
      </c>
      <c r="N62" s="118">
        <v>0.04</v>
      </c>
      <c r="O62" s="118">
        <v>0.04</v>
      </c>
      <c r="P62" s="118">
        <v>0.04</v>
      </c>
      <c r="Q62" s="118">
        <v>0.04</v>
      </c>
      <c r="R62" s="118">
        <v>0.04</v>
      </c>
      <c r="S62" s="118">
        <v>0.03</v>
      </c>
      <c r="T62" s="118">
        <v>0.03</v>
      </c>
      <c r="U62" s="118">
        <v>0.03</v>
      </c>
      <c r="V62" s="118">
        <v>0.03</v>
      </c>
      <c r="W62" s="118">
        <v>0.03</v>
      </c>
      <c r="X62" s="118">
        <v>0.03</v>
      </c>
      <c r="Y62" s="118">
        <v>0.03</v>
      </c>
      <c r="Z62" s="2"/>
      <c r="AA62" s="2"/>
      <c r="AB62" s="2"/>
      <c r="AC62" s="2"/>
      <c r="AD62" s="2"/>
      <c r="AE62" s="2"/>
    </row>
  </sheetData>
  <mergeCells count="41">
    <mergeCell ref="H3:H4"/>
    <mergeCell ref="A3:A4"/>
    <mergeCell ref="C3:C4"/>
    <mergeCell ref="E3:E4"/>
    <mergeCell ref="F3:F4"/>
    <mergeCell ref="G3:G4"/>
    <mergeCell ref="T3:T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U3:U4"/>
    <mergeCell ref="V3:V4"/>
    <mergeCell ref="W3:W4"/>
    <mergeCell ref="X3:X4"/>
    <mergeCell ref="Y3:Y4"/>
    <mergeCell ref="A29:A30"/>
    <mergeCell ref="A8:A9"/>
    <mergeCell ref="A10:A11"/>
    <mergeCell ref="A12:A13"/>
    <mergeCell ref="A14:A15"/>
    <mergeCell ref="A16:A17"/>
    <mergeCell ref="A21:A22"/>
    <mergeCell ref="A23:A24"/>
    <mergeCell ref="A25:A26"/>
    <mergeCell ref="A27:A28"/>
    <mergeCell ref="A46:A47"/>
    <mergeCell ref="A48:A49"/>
    <mergeCell ref="A31:A32"/>
    <mergeCell ref="A36:A37"/>
    <mergeCell ref="A38:A39"/>
    <mergeCell ref="A40:A41"/>
    <mergeCell ref="A42:A43"/>
    <mergeCell ref="A44:A4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3"/>
  <sheetViews>
    <sheetView workbookViewId="0">
      <selection activeCell="A33" sqref="A33"/>
    </sheetView>
  </sheetViews>
  <sheetFormatPr defaultColWidth="8.85546875" defaultRowHeight="15"/>
  <cols>
    <col min="1" max="1" width="2.85546875" customWidth="1"/>
    <col min="2" max="2" width="3" customWidth="1"/>
    <col min="3" max="3" width="40.7109375" customWidth="1"/>
    <col min="4" max="4" width="19.28515625" customWidth="1"/>
    <col min="14" max="14" width="11.7109375" bestFit="1" customWidth="1"/>
    <col min="29" max="41" width="0" hidden="1" customWidth="1"/>
    <col min="44" max="44" width="9.42578125" bestFit="1" customWidth="1"/>
  </cols>
  <sheetData>
    <row r="1" spans="3:44">
      <c r="C1" s="9" t="s">
        <v>13</v>
      </c>
      <c r="D1" s="10"/>
      <c r="E1" s="11"/>
      <c r="F1" s="10">
        <v>1</v>
      </c>
      <c r="G1" s="10">
        <v>2</v>
      </c>
      <c r="H1" s="10">
        <v>3</v>
      </c>
      <c r="I1" s="10">
        <v>4</v>
      </c>
      <c r="J1" s="10">
        <v>5</v>
      </c>
      <c r="K1" s="10">
        <v>6</v>
      </c>
      <c r="L1" s="10">
        <v>7</v>
      </c>
      <c r="M1" s="10">
        <v>8</v>
      </c>
      <c r="N1" s="10">
        <v>9</v>
      </c>
      <c r="O1" s="10">
        <v>10</v>
      </c>
      <c r="P1" s="10">
        <v>11</v>
      </c>
      <c r="Q1" s="10">
        <v>12</v>
      </c>
      <c r="R1" s="10">
        <v>13</v>
      </c>
      <c r="S1" s="10">
        <v>14</v>
      </c>
      <c r="T1" s="10">
        <v>15</v>
      </c>
      <c r="U1" s="10">
        <v>16</v>
      </c>
      <c r="V1" s="10">
        <v>17</v>
      </c>
      <c r="W1" s="10">
        <v>18</v>
      </c>
      <c r="X1" s="10">
        <v>19</v>
      </c>
      <c r="Y1" s="10">
        <v>20</v>
      </c>
      <c r="Z1" s="10">
        <v>21</v>
      </c>
      <c r="AA1" s="10">
        <v>22</v>
      </c>
      <c r="AB1" s="10"/>
      <c r="AC1" s="10">
        <v>23</v>
      </c>
      <c r="AD1" s="10">
        <v>24</v>
      </c>
      <c r="AE1" s="10">
        <v>25</v>
      </c>
      <c r="AF1" s="10">
        <v>26</v>
      </c>
      <c r="AG1" s="10">
        <v>27</v>
      </c>
      <c r="AH1" s="10">
        <v>28</v>
      </c>
      <c r="AI1" s="10">
        <v>29</v>
      </c>
      <c r="AJ1" s="10">
        <v>30</v>
      </c>
      <c r="AK1" s="10">
        <v>31</v>
      </c>
      <c r="AL1" s="10">
        <v>32</v>
      </c>
      <c r="AM1" s="10">
        <v>33</v>
      </c>
      <c r="AN1" s="10">
        <v>34</v>
      </c>
      <c r="AO1" s="10">
        <v>35</v>
      </c>
      <c r="AQ1" s="341" t="s">
        <v>0</v>
      </c>
      <c r="AR1" s="10" t="s">
        <v>2</v>
      </c>
    </row>
    <row r="2" spans="3:44">
      <c r="C2" s="9"/>
      <c r="D2" s="12"/>
      <c r="E2" s="13"/>
      <c r="F2" s="14">
        <v>2023</v>
      </c>
      <c r="G2" s="14">
        <v>2024</v>
      </c>
      <c r="H2" s="14">
        <v>2025</v>
      </c>
      <c r="I2" s="14">
        <v>2026</v>
      </c>
      <c r="J2" s="14">
        <v>2027</v>
      </c>
      <c r="K2" s="14">
        <v>2028</v>
      </c>
      <c r="L2" s="14">
        <v>2029</v>
      </c>
      <c r="M2" s="14">
        <v>2030</v>
      </c>
      <c r="N2" s="14">
        <v>2031</v>
      </c>
      <c r="O2" s="14">
        <v>2032</v>
      </c>
      <c r="P2" s="14">
        <v>2033</v>
      </c>
      <c r="Q2" s="14">
        <v>2034</v>
      </c>
      <c r="R2" s="14">
        <v>2035</v>
      </c>
      <c r="S2" s="14">
        <v>2036</v>
      </c>
      <c r="T2" s="14">
        <v>2037</v>
      </c>
      <c r="U2" s="14">
        <v>2038</v>
      </c>
      <c r="V2" s="14">
        <v>2039</v>
      </c>
      <c r="W2" s="14">
        <v>2040</v>
      </c>
      <c r="X2" s="14">
        <v>2041</v>
      </c>
      <c r="Y2" s="14">
        <v>2042</v>
      </c>
      <c r="Z2" s="14">
        <v>2043</v>
      </c>
      <c r="AA2" s="14">
        <v>2044</v>
      </c>
      <c r="AB2" s="14">
        <v>2045</v>
      </c>
      <c r="AC2" s="14">
        <v>2046</v>
      </c>
      <c r="AD2" s="14">
        <v>2047</v>
      </c>
      <c r="AE2" s="14">
        <v>2048</v>
      </c>
      <c r="AF2" s="14">
        <v>2049</v>
      </c>
      <c r="AG2" s="14">
        <v>2050</v>
      </c>
      <c r="AH2" s="14">
        <v>2051</v>
      </c>
      <c r="AI2" s="14">
        <v>2052</v>
      </c>
      <c r="AJ2" s="14">
        <v>2053</v>
      </c>
      <c r="AK2" s="14">
        <v>2054</v>
      </c>
      <c r="AL2" s="14">
        <v>2055</v>
      </c>
      <c r="AM2" s="14">
        <v>2056</v>
      </c>
      <c r="AN2" s="14">
        <v>2057</v>
      </c>
      <c r="AO2" s="14">
        <v>2058</v>
      </c>
      <c r="AQ2" s="341"/>
      <c r="AR2" s="14" t="s">
        <v>14</v>
      </c>
    </row>
    <row r="3" spans="3:44" ht="5.0999999999999996" customHeight="1">
      <c r="C3" s="16"/>
      <c r="D3" s="15"/>
      <c r="E3" s="16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Q3" s="15"/>
      <c r="AR3" s="15"/>
    </row>
    <row r="4" spans="3:44">
      <c r="C4" s="17" t="s">
        <v>88</v>
      </c>
      <c r="D4" s="18"/>
      <c r="E4" s="17"/>
      <c r="F4" s="19">
        <f>F1</f>
        <v>1</v>
      </c>
      <c r="G4" s="19">
        <f>G1</f>
        <v>2</v>
      </c>
      <c r="H4" s="19">
        <f t="shared" ref="H4:AO4" si="0">H1</f>
        <v>3</v>
      </c>
      <c r="I4" s="19">
        <f t="shared" si="0"/>
        <v>4</v>
      </c>
      <c r="J4" s="19">
        <f t="shared" si="0"/>
        <v>5</v>
      </c>
      <c r="K4" s="19">
        <f t="shared" si="0"/>
        <v>6</v>
      </c>
      <c r="L4" s="19">
        <f t="shared" si="0"/>
        <v>7</v>
      </c>
      <c r="M4" s="19">
        <f t="shared" si="0"/>
        <v>8</v>
      </c>
      <c r="N4" s="19">
        <f t="shared" si="0"/>
        <v>9</v>
      </c>
      <c r="O4" s="19">
        <f t="shared" si="0"/>
        <v>10</v>
      </c>
      <c r="P4" s="19">
        <f t="shared" si="0"/>
        <v>11</v>
      </c>
      <c r="Q4" s="19">
        <f t="shared" si="0"/>
        <v>12</v>
      </c>
      <c r="R4" s="19">
        <f t="shared" si="0"/>
        <v>13</v>
      </c>
      <c r="S4" s="19">
        <f t="shared" si="0"/>
        <v>14</v>
      </c>
      <c r="T4" s="19">
        <f t="shared" si="0"/>
        <v>15</v>
      </c>
      <c r="U4" s="19">
        <f t="shared" si="0"/>
        <v>16</v>
      </c>
      <c r="V4" s="19">
        <f t="shared" si="0"/>
        <v>17</v>
      </c>
      <c r="W4" s="19">
        <f t="shared" si="0"/>
        <v>18</v>
      </c>
      <c r="X4" s="19">
        <f t="shared" si="0"/>
        <v>19</v>
      </c>
      <c r="Y4" s="19">
        <f t="shared" si="0"/>
        <v>20</v>
      </c>
      <c r="Z4" s="19">
        <f t="shared" si="0"/>
        <v>21</v>
      </c>
      <c r="AA4" s="19">
        <f t="shared" si="0"/>
        <v>22</v>
      </c>
      <c r="AB4" s="19">
        <f t="shared" si="0"/>
        <v>0</v>
      </c>
      <c r="AC4" s="19">
        <f t="shared" si="0"/>
        <v>23</v>
      </c>
      <c r="AD4" s="19">
        <f t="shared" si="0"/>
        <v>24</v>
      </c>
      <c r="AE4" s="19">
        <f t="shared" si="0"/>
        <v>25</v>
      </c>
      <c r="AF4" s="19">
        <f t="shared" si="0"/>
        <v>26</v>
      </c>
      <c r="AG4" s="19">
        <f t="shared" si="0"/>
        <v>27</v>
      </c>
      <c r="AH4" s="19">
        <f t="shared" si="0"/>
        <v>28</v>
      </c>
      <c r="AI4" s="19">
        <f t="shared" si="0"/>
        <v>29</v>
      </c>
      <c r="AJ4" s="19">
        <f t="shared" si="0"/>
        <v>30</v>
      </c>
      <c r="AK4" s="19">
        <f t="shared" si="0"/>
        <v>31</v>
      </c>
      <c r="AL4" s="19">
        <f t="shared" si="0"/>
        <v>32</v>
      </c>
      <c r="AM4" s="19">
        <f t="shared" si="0"/>
        <v>33</v>
      </c>
      <c r="AN4" s="19">
        <f t="shared" si="0"/>
        <v>34</v>
      </c>
      <c r="AO4" s="19">
        <f t="shared" si="0"/>
        <v>35</v>
      </c>
      <c r="AQ4" s="20"/>
      <c r="AR4" s="19"/>
    </row>
    <row r="5" spans="3:44" ht="5.0999999999999996" customHeight="1"/>
    <row r="6" spans="3:44">
      <c r="C6" s="24" t="s">
        <v>91</v>
      </c>
      <c r="D6" s="25">
        <v>1</v>
      </c>
      <c r="E6" s="26"/>
      <c r="F6" s="27" t="e">
        <f>VLOOKUP('Balanço de massa RCC'!F1,#REF!,24)</f>
        <v>#REF!</v>
      </c>
      <c r="G6" s="27" t="e">
        <f>VLOOKUP('Balanço de massa RCC'!G1,#REF!,24)</f>
        <v>#REF!</v>
      </c>
      <c r="H6" s="27" t="e">
        <f>VLOOKUP('Balanço de massa RCC'!H1,#REF!,24)</f>
        <v>#REF!</v>
      </c>
      <c r="I6" s="27" t="e">
        <f>VLOOKUP('Balanço de massa RCC'!I1,#REF!,24)</f>
        <v>#REF!</v>
      </c>
      <c r="J6" s="27" t="e">
        <f>VLOOKUP('Balanço de massa RCC'!J1,#REF!,24)</f>
        <v>#REF!</v>
      </c>
      <c r="K6" s="27" t="e">
        <f>VLOOKUP('Balanço de massa RCC'!K1,#REF!,24)</f>
        <v>#REF!</v>
      </c>
      <c r="L6" s="27" t="e">
        <f>VLOOKUP('Balanço de massa RCC'!L1,#REF!,24)</f>
        <v>#REF!</v>
      </c>
      <c r="M6" s="27" t="e">
        <f>VLOOKUP('Balanço de massa RCC'!M1,#REF!,24)</f>
        <v>#REF!</v>
      </c>
      <c r="N6" s="27" t="e">
        <f>VLOOKUP('Balanço de massa RCC'!N1,#REF!,24)</f>
        <v>#REF!</v>
      </c>
      <c r="O6" s="27" t="e">
        <f>VLOOKUP('Balanço de massa RCC'!O1,#REF!,24)</f>
        <v>#REF!</v>
      </c>
      <c r="P6" s="27" t="e">
        <f>VLOOKUP('Balanço de massa RCC'!P1,#REF!,24)</f>
        <v>#REF!</v>
      </c>
      <c r="Q6" s="27" t="e">
        <f>VLOOKUP('Balanço de massa RCC'!Q1,#REF!,24)</f>
        <v>#REF!</v>
      </c>
      <c r="R6" s="27" t="e">
        <f>VLOOKUP('Balanço de massa RCC'!R1,#REF!,24)</f>
        <v>#REF!</v>
      </c>
      <c r="S6" s="27" t="e">
        <f>VLOOKUP('Balanço de massa RCC'!S1,#REF!,24)</f>
        <v>#REF!</v>
      </c>
      <c r="T6" s="27" t="e">
        <f>VLOOKUP('Balanço de massa RCC'!T1,#REF!,24)</f>
        <v>#REF!</v>
      </c>
      <c r="U6" s="27" t="e">
        <f>VLOOKUP('Balanço de massa RCC'!U1,#REF!,24)</f>
        <v>#REF!</v>
      </c>
      <c r="V6" s="27" t="e">
        <f>VLOOKUP('Balanço de massa RCC'!V1,#REF!,24)</f>
        <v>#REF!</v>
      </c>
      <c r="W6" s="27" t="e">
        <f>VLOOKUP('Balanço de massa RCC'!W1,#REF!,24)</f>
        <v>#REF!</v>
      </c>
      <c r="X6" s="27" t="e">
        <f>VLOOKUP('Balanço de massa RCC'!X1,#REF!,24)</f>
        <v>#REF!</v>
      </c>
      <c r="Y6" s="27" t="e">
        <f>VLOOKUP('Balanço de massa RCC'!Y1,#REF!,24)</f>
        <v>#REF!</v>
      </c>
      <c r="Z6" s="27" t="e">
        <f>VLOOKUP('Balanço de massa RCC'!Z1,#REF!,24)</f>
        <v>#REF!</v>
      </c>
      <c r="AA6" s="27" t="e">
        <f>VLOOKUP('Balanço de massa RCC'!AA1,#REF!,24)</f>
        <v>#REF!</v>
      </c>
      <c r="AB6" s="27" t="e">
        <f>VLOOKUP('Balanço de massa RCC'!AB1,#REF!,24)</f>
        <v>#REF!</v>
      </c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Q6" s="27" t="e">
        <f>SUM(F6:AA6)</f>
        <v>#REF!</v>
      </c>
      <c r="AR6" s="27" t="e">
        <f>AVERAGE(H6:AA6)</f>
        <v>#REF!</v>
      </c>
    </row>
    <row r="7" spans="3:44">
      <c r="C7" s="24" t="s">
        <v>92</v>
      </c>
      <c r="D7" s="28"/>
      <c r="E7" s="69"/>
      <c r="F7" s="27">
        <v>0</v>
      </c>
      <c r="G7" s="27">
        <v>0</v>
      </c>
      <c r="H7" s="27" t="e">
        <f>H6/(#REF!*12)</f>
        <v>#REF!</v>
      </c>
      <c r="I7" s="27" t="e">
        <f>I6/(#REF!*12)</f>
        <v>#REF!</v>
      </c>
      <c r="J7" s="27" t="e">
        <f>J6/(#REF!*12)</f>
        <v>#REF!</v>
      </c>
      <c r="K7" s="27" t="e">
        <f>K6/(#REF!*12)</f>
        <v>#REF!</v>
      </c>
      <c r="L7" s="27" t="e">
        <f>L6/(#REF!*12)</f>
        <v>#REF!</v>
      </c>
      <c r="M7" s="27" t="e">
        <f>M6/(#REF!*12)</f>
        <v>#REF!</v>
      </c>
      <c r="N7" s="27" t="e">
        <f>N6/(#REF!*12)</f>
        <v>#REF!</v>
      </c>
      <c r="O7" s="27" t="e">
        <f>O6/(#REF!*12)</f>
        <v>#REF!</v>
      </c>
      <c r="P7" s="27" t="e">
        <f>P6/(#REF!*12)</f>
        <v>#REF!</v>
      </c>
      <c r="Q7" s="27" t="e">
        <f>Q6/(#REF!*12)</f>
        <v>#REF!</v>
      </c>
      <c r="R7" s="27" t="e">
        <f>R6/(#REF!*12)</f>
        <v>#REF!</v>
      </c>
      <c r="S7" s="27" t="e">
        <f>S6/(#REF!*12)</f>
        <v>#REF!</v>
      </c>
      <c r="T7" s="27" t="e">
        <f>T6/(#REF!*12)</f>
        <v>#REF!</v>
      </c>
      <c r="U7" s="27" t="e">
        <f>U6/(#REF!*12)</f>
        <v>#REF!</v>
      </c>
      <c r="V7" s="27" t="e">
        <f>V6/(#REF!*12)</f>
        <v>#REF!</v>
      </c>
      <c r="W7" s="27" t="e">
        <f>W6/(#REF!*12)</f>
        <v>#REF!</v>
      </c>
      <c r="X7" s="27" t="e">
        <f>X6/(#REF!*12)</f>
        <v>#REF!</v>
      </c>
      <c r="Y7" s="27" t="e">
        <f>Y6/(#REF!*12)</f>
        <v>#REF!</v>
      </c>
      <c r="Z7" s="27" t="e">
        <f>Z6/(#REF!*12)</f>
        <v>#REF!</v>
      </c>
      <c r="AA7" s="27" t="e">
        <f>AA6/(#REF!*12)</f>
        <v>#REF!</v>
      </c>
      <c r="AB7" s="27" t="e">
        <f>AB6/(#REF!*12)</f>
        <v>#REF!</v>
      </c>
      <c r="AC7" s="27" t="e">
        <f>AC6/(#REF!*12)</f>
        <v>#REF!</v>
      </c>
      <c r="AD7" s="27" t="e">
        <f>AD6/(#REF!*12)</f>
        <v>#REF!</v>
      </c>
      <c r="AE7" s="27" t="e">
        <f>AE6/(#REF!*12)</f>
        <v>#REF!</v>
      </c>
      <c r="AF7" s="27" t="e">
        <f>AF6/(#REF!*12)</f>
        <v>#REF!</v>
      </c>
      <c r="AG7" s="27" t="e">
        <f>AG6/(#REF!*12)</f>
        <v>#REF!</v>
      </c>
      <c r="AH7" s="27" t="e">
        <f>AH6/(#REF!*12)</f>
        <v>#REF!</v>
      </c>
      <c r="AI7" s="27" t="e">
        <f>AI6/(#REF!*12)</f>
        <v>#REF!</v>
      </c>
      <c r="AJ7" s="27" t="e">
        <f>AJ6/(#REF!*12)</f>
        <v>#REF!</v>
      </c>
      <c r="AK7" s="27" t="e">
        <f>AK6/(#REF!*12)</f>
        <v>#REF!</v>
      </c>
      <c r="AL7" s="27" t="e">
        <f>AL6/(#REF!*12)</f>
        <v>#REF!</v>
      </c>
      <c r="AM7" s="27" t="e">
        <f>AM6/(#REF!*12)</f>
        <v>#REF!</v>
      </c>
      <c r="AN7" s="27" t="e">
        <f>AN6/(#REF!*12)</f>
        <v>#REF!</v>
      </c>
      <c r="AO7" s="27" t="e">
        <f>AO6/(#REF!*12)</f>
        <v>#REF!</v>
      </c>
      <c r="AQ7" s="27" t="e">
        <f>SUM(F7:AA7)</f>
        <v>#REF!</v>
      </c>
      <c r="AR7" s="27" t="e">
        <f>AVERAGE(H7:AA7)</f>
        <v>#REF!</v>
      </c>
    </row>
    <row r="8" spans="3:44" ht="5.0999999999999996" customHeight="1">
      <c r="C8" s="29"/>
      <c r="E8" s="2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Q8" s="27"/>
      <c r="AR8" s="27"/>
    </row>
    <row r="9" spans="3:44">
      <c r="C9" s="30" t="s">
        <v>93</v>
      </c>
      <c r="E9" s="2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Q9" s="31"/>
      <c r="AR9" s="31"/>
    </row>
    <row r="10" spans="3:44" ht="5.0999999999999996" customHeight="1"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Q10" s="32"/>
      <c r="AR10" s="32"/>
    </row>
    <row r="11" spans="3:44">
      <c r="C11" s="24" t="s">
        <v>18</v>
      </c>
      <c r="D11" s="342">
        <v>1</v>
      </c>
      <c r="F11" s="27" t="e">
        <f>F6</f>
        <v>#REF!</v>
      </c>
      <c r="G11" s="27" t="e">
        <f t="shared" ref="G11:AB12" si="1">G6</f>
        <v>#REF!</v>
      </c>
      <c r="H11" s="27" t="e">
        <f>H6</f>
        <v>#REF!</v>
      </c>
      <c r="I11" s="27" t="e">
        <f>I6</f>
        <v>#REF!</v>
      </c>
      <c r="J11" s="27" t="e">
        <f t="shared" si="1"/>
        <v>#REF!</v>
      </c>
      <c r="K11" s="27" t="e">
        <f t="shared" si="1"/>
        <v>#REF!</v>
      </c>
      <c r="L11" s="27" t="e">
        <f t="shared" si="1"/>
        <v>#REF!</v>
      </c>
      <c r="M11" s="27" t="e">
        <f t="shared" si="1"/>
        <v>#REF!</v>
      </c>
      <c r="N11" s="27" t="e">
        <f t="shared" si="1"/>
        <v>#REF!</v>
      </c>
      <c r="O11" s="27" t="e">
        <f t="shared" si="1"/>
        <v>#REF!</v>
      </c>
      <c r="P11" s="27" t="e">
        <f t="shared" si="1"/>
        <v>#REF!</v>
      </c>
      <c r="Q11" s="27" t="e">
        <f t="shared" si="1"/>
        <v>#REF!</v>
      </c>
      <c r="R11" s="27" t="e">
        <f t="shared" si="1"/>
        <v>#REF!</v>
      </c>
      <c r="S11" s="27" t="e">
        <f t="shared" si="1"/>
        <v>#REF!</v>
      </c>
      <c r="T11" s="27" t="e">
        <f t="shared" si="1"/>
        <v>#REF!</v>
      </c>
      <c r="U11" s="27" t="e">
        <f t="shared" si="1"/>
        <v>#REF!</v>
      </c>
      <c r="V11" s="27" t="e">
        <f t="shared" si="1"/>
        <v>#REF!</v>
      </c>
      <c r="W11" s="27" t="e">
        <f t="shared" si="1"/>
        <v>#REF!</v>
      </c>
      <c r="X11" s="27" t="e">
        <f t="shared" si="1"/>
        <v>#REF!</v>
      </c>
      <c r="Y11" s="27" t="e">
        <f t="shared" si="1"/>
        <v>#REF!</v>
      </c>
      <c r="Z11" s="27" t="e">
        <f t="shared" si="1"/>
        <v>#REF!</v>
      </c>
      <c r="AA11" s="27" t="e">
        <f t="shared" si="1"/>
        <v>#REF!</v>
      </c>
      <c r="AB11" s="27" t="e">
        <f t="shared" si="1"/>
        <v>#REF!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Q11" s="27"/>
      <c r="AR11" s="33" t="e">
        <f>AVERAGE(H11:AA11)</f>
        <v>#REF!</v>
      </c>
    </row>
    <row r="12" spans="3:44">
      <c r="C12" s="24" t="s">
        <v>81</v>
      </c>
      <c r="D12" s="342"/>
      <c r="F12" s="27">
        <f>F7</f>
        <v>0</v>
      </c>
      <c r="G12" s="27">
        <f t="shared" si="1"/>
        <v>0</v>
      </c>
      <c r="H12" s="27" t="e">
        <f>H7</f>
        <v>#REF!</v>
      </c>
      <c r="I12" s="27" t="e">
        <f t="shared" si="1"/>
        <v>#REF!</v>
      </c>
      <c r="J12" s="27" t="e">
        <f t="shared" si="1"/>
        <v>#REF!</v>
      </c>
      <c r="K12" s="27" t="e">
        <f t="shared" si="1"/>
        <v>#REF!</v>
      </c>
      <c r="L12" s="27" t="e">
        <f t="shared" si="1"/>
        <v>#REF!</v>
      </c>
      <c r="M12" s="27" t="e">
        <f t="shared" si="1"/>
        <v>#REF!</v>
      </c>
      <c r="N12" s="27" t="e">
        <f t="shared" si="1"/>
        <v>#REF!</v>
      </c>
      <c r="O12" s="27" t="e">
        <f t="shared" si="1"/>
        <v>#REF!</v>
      </c>
      <c r="P12" s="27" t="e">
        <f t="shared" si="1"/>
        <v>#REF!</v>
      </c>
      <c r="Q12" s="27" t="e">
        <f t="shared" si="1"/>
        <v>#REF!</v>
      </c>
      <c r="R12" s="27" t="e">
        <f t="shared" si="1"/>
        <v>#REF!</v>
      </c>
      <c r="S12" s="27" t="e">
        <f t="shared" si="1"/>
        <v>#REF!</v>
      </c>
      <c r="T12" s="27" t="e">
        <f t="shared" si="1"/>
        <v>#REF!</v>
      </c>
      <c r="U12" s="27" t="e">
        <f>U7</f>
        <v>#REF!</v>
      </c>
      <c r="V12" s="27" t="e">
        <f t="shared" si="1"/>
        <v>#REF!</v>
      </c>
      <c r="W12" s="27" t="e">
        <f t="shared" si="1"/>
        <v>#REF!</v>
      </c>
      <c r="X12" s="27" t="e">
        <f t="shared" si="1"/>
        <v>#REF!</v>
      </c>
      <c r="Y12" s="27" t="e">
        <f t="shared" si="1"/>
        <v>#REF!</v>
      </c>
      <c r="Z12" s="27" t="e">
        <f t="shared" si="1"/>
        <v>#REF!</v>
      </c>
      <c r="AA12" s="27" t="e">
        <f t="shared" si="1"/>
        <v>#REF!</v>
      </c>
      <c r="AB12" s="27" t="e">
        <f>AB7</f>
        <v>#REF!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Q12" s="27"/>
      <c r="AR12" s="33" t="e">
        <f>AVERAGE(H12:AA12)</f>
        <v>#REF!</v>
      </c>
    </row>
    <row r="13" spans="3:44" ht="5.0999999999999996" customHeight="1"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Q13" s="32"/>
      <c r="AR13" s="33"/>
    </row>
    <row r="14" spans="3:44">
      <c r="C14" s="24" t="s">
        <v>19</v>
      </c>
      <c r="D14" s="70" t="e">
        <f>#REF!</f>
        <v>#REF!</v>
      </c>
      <c r="F14" s="33" t="e">
        <f>$D$14</f>
        <v>#REF!</v>
      </c>
      <c r="G14" s="33" t="e">
        <f t="shared" ref="G14:AB14" si="2">$D$14</f>
        <v>#REF!</v>
      </c>
      <c r="H14" s="33" t="e">
        <f>$D$14</f>
        <v>#REF!</v>
      </c>
      <c r="I14" s="33" t="e">
        <f t="shared" si="2"/>
        <v>#REF!</v>
      </c>
      <c r="J14" s="33" t="e">
        <f t="shared" si="2"/>
        <v>#REF!</v>
      </c>
      <c r="K14" s="33" t="e">
        <f t="shared" si="2"/>
        <v>#REF!</v>
      </c>
      <c r="L14" s="33" t="e">
        <f t="shared" si="2"/>
        <v>#REF!</v>
      </c>
      <c r="M14" s="33" t="e">
        <f t="shared" si="2"/>
        <v>#REF!</v>
      </c>
      <c r="N14" s="33" t="e">
        <f t="shared" si="2"/>
        <v>#REF!</v>
      </c>
      <c r="O14" s="33" t="e">
        <f t="shared" si="2"/>
        <v>#REF!</v>
      </c>
      <c r="P14" s="33" t="e">
        <f t="shared" si="2"/>
        <v>#REF!</v>
      </c>
      <c r="Q14" s="33" t="e">
        <f t="shared" si="2"/>
        <v>#REF!</v>
      </c>
      <c r="R14" s="33" t="e">
        <f t="shared" si="2"/>
        <v>#REF!</v>
      </c>
      <c r="S14" s="33" t="e">
        <f t="shared" si="2"/>
        <v>#REF!</v>
      </c>
      <c r="T14" s="33" t="e">
        <f t="shared" si="2"/>
        <v>#REF!</v>
      </c>
      <c r="U14" s="33" t="e">
        <f t="shared" si="2"/>
        <v>#REF!</v>
      </c>
      <c r="V14" s="33" t="e">
        <f t="shared" si="2"/>
        <v>#REF!</v>
      </c>
      <c r="W14" s="33" t="e">
        <f t="shared" si="2"/>
        <v>#REF!</v>
      </c>
      <c r="X14" s="33" t="e">
        <f t="shared" si="2"/>
        <v>#REF!</v>
      </c>
      <c r="Y14" s="33" t="e">
        <f t="shared" si="2"/>
        <v>#REF!</v>
      </c>
      <c r="Z14" s="33" t="e">
        <f t="shared" si="2"/>
        <v>#REF!</v>
      </c>
      <c r="AA14" s="33" t="e">
        <f t="shared" si="2"/>
        <v>#REF!</v>
      </c>
      <c r="AB14" s="33" t="e">
        <f t="shared" si="2"/>
        <v>#REF!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Q14" s="33"/>
      <c r="AR14" s="33" t="e">
        <f>AVERAGE(H14:AA14)</f>
        <v>#REF!</v>
      </c>
    </row>
    <row r="15" spans="3:44">
      <c r="C15" s="24" t="s">
        <v>206</v>
      </c>
      <c r="D15" s="70">
        <f>44+2</f>
        <v>46</v>
      </c>
      <c r="F15" s="33">
        <f>$D$15</f>
        <v>46</v>
      </c>
      <c r="G15" s="33">
        <f t="shared" ref="G15:AD15" si="3">$D$15</f>
        <v>46</v>
      </c>
      <c r="H15" s="33">
        <f t="shared" si="3"/>
        <v>46</v>
      </c>
      <c r="I15" s="33">
        <f t="shared" si="3"/>
        <v>46</v>
      </c>
      <c r="J15" s="33">
        <f t="shared" si="3"/>
        <v>46</v>
      </c>
      <c r="K15" s="33">
        <f t="shared" si="3"/>
        <v>46</v>
      </c>
      <c r="L15" s="33">
        <f t="shared" si="3"/>
        <v>46</v>
      </c>
      <c r="M15" s="33">
        <f t="shared" si="3"/>
        <v>46</v>
      </c>
      <c r="N15" s="33">
        <f t="shared" si="3"/>
        <v>46</v>
      </c>
      <c r="O15" s="33">
        <f t="shared" si="3"/>
        <v>46</v>
      </c>
      <c r="P15" s="33">
        <f t="shared" si="3"/>
        <v>46</v>
      </c>
      <c r="Q15" s="33">
        <f t="shared" si="3"/>
        <v>46</v>
      </c>
      <c r="R15" s="33">
        <f t="shared" si="3"/>
        <v>46</v>
      </c>
      <c r="S15" s="33">
        <f t="shared" si="3"/>
        <v>46</v>
      </c>
      <c r="T15" s="33">
        <f t="shared" si="3"/>
        <v>46</v>
      </c>
      <c r="U15" s="33">
        <f t="shared" si="3"/>
        <v>46</v>
      </c>
      <c r="V15" s="33">
        <f t="shared" si="3"/>
        <v>46</v>
      </c>
      <c r="W15" s="33">
        <f t="shared" si="3"/>
        <v>46</v>
      </c>
      <c r="X15" s="33">
        <f t="shared" si="3"/>
        <v>46</v>
      </c>
      <c r="Y15" s="33">
        <f t="shared" si="3"/>
        <v>46</v>
      </c>
      <c r="Z15" s="33">
        <f t="shared" si="3"/>
        <v>46</v>
      </c>
      <c r="AA15" s="33">
        <f t="shared" si="3"/>
        <v>46</v>
      </c>
      <c r="AB15" s="33">
        <f t="shared" si="3"/>
        <v>46</v>
      </c>
      <c r="AC15" s="33">
        <f t="shared" si="3"/>
        <v>46</v>
      </c>
      <c r="AD15" s="33">
        <f t="shared" si="3"/>
        <v>46</v>
      </c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Q15" s="33"/>
      <c r="AR15" s="33"/>
    </row>
    <row r="16" spans="3:44" ht="5.0999999999999996" customHeight="1"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Q16" s="32"/>
      <c r="AR16" s="32"/>
    </row>
    <row r="17" spans="1:46">
      <c r="A17" s="39"/>
      <c r="B17" s="39"/>
      <c r="C17" s="93" t="s">
        <v>100</v>
      </c>
      <c r="D17" s="35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Q17" s="37"/>
      <c r="AR17" s="37"/>
      <c r="AS17" s="39"/>
    </row>
    <row r="18" spans="1:46" ht="5.0999999999999996" customHeight="1"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Q18" s="32"/>
      <c r="AR18" s="32"/>
    </row>
    <row r="19" spans="1:46">
      <c r="C19" s="21" t="s">
        <v>196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 t="e">
        <f>X24*26.07*X23</f>
        <v>#REF!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Q19" s="32"/>
      <c r="AR19" s="32"/>
    </row>
    <row r="20" spans="1:46">
      <c r="C20" s="24" t="s">
        <v>23</v>
      </c>
      <c r="D20" s="80" t="e">
        <f>#REF!</f>
        <v>#REF!</v>
      </c>
      <c r="E20" s="21"/>
      <c r="F20" s="41"/>
      <c r="G20" s="41"/>
      <c r="H20" s="45" t="e">
        <f>$D$20</f>
        <v>#REF!</v>
      </c>
      <c r="I20" s="45" t="e">
        <f>$D$20</f>
        <v>#REF!</v>
      </c>
      <c r="J20" s="45" t="e">
        <f t="shared" ref="J20:AB20" si="4">$D$20</f>
        <v>#REF!</v>
      </c>
      <c r="K20" s="45" t="e">
        <f t="shared" si="4"/>
        <v>#REF!</v>
      </c>
      <c r="L20" s="45" t="e">
        <f t="shared" si="4"/>
        <v>#REF!</v>
      </c>
      <c r="M20" s="45" t="e">
        <f t="shared" si="4"/>
        <v>#REF!</v>
      </c>
      <c r="N20" s="45" t="e">
        <f t="shared" si="4"/>
        <v>#REF!</v>
      </c>
      <c r="O20" s="45" t="e">
        <f t="shared" si="4"/>
        <v>#REF!</v>
      </c>
      <c r="P20" s="45" t="e">
        <f t="shared" si="4"/>
        <v>#REF!</v>
      </c>
      <c r="Q20" s="45" t="e">
        <f t="shared" si="4"/>
        <v>#REF!</v>
      </c>
      <c r="R20" s="45" t="e">
        <f t="shared" si="4"/>
        <v>#REF!</v>
      </c>
      <c r="S20" s="45" t="e">
        <f t="shared" si="4"/>
        <v>#REF!</v>
      </c>
      <c r="T20" s="45" t="e">
        <f t="shared" si="4"/>
        <v>#REF!</v>
      </c>
      <c r="U20" s="45" t="e">
        <f t="shared" si="4"/>
        <v>#REF!</v>
      </c>
      <c r="V20" s="45" t="e">
        <f t="shared" si="4"/>
        <v>#REF!</v>
      </c>
      <c r="W20" s="45" t="e">
        <f t="shared" si="4"/>
        <v>#REF!</v>
      </c>
      <c r="X20" s="45" t="e">
        <f t="shared" si="4"/>
        <v>#REF!</v>
      </c>
      <c r="Y20" s="45" t="e">
        <f t="shared" si="4"/>
        <v>#REF!</v>
      </c>
      <c r="Z20" s="45" t="e">
        <f t="shared" si="4"/>
        <v>#REF!</v>
      </c>
      <c r="AA20" s="45" t="e">
        <f t="shared" si="4"/>
        <v>#REF!</v>
      </c>
      <c r="AB20" s="45" t="e">
        <f t="shared" si="4"/>
        <v>#REF!</v>
      </c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Q20" s="45"/>
      <c r="AR20" s="41" t="e">
        <f>AVERAGE(I20:AB20)</f>
        <v>#REF!</v>
      </c>
    </row>
    <row r="21" spans="1:46">
      <c r="C21" s="24" t="s">
        <v>24</v>
      </c>
      <c r="D21" s="80" t="e">
        <f>#REF!</f>
        <v>#REF!</v>
      </c>
      <c r="E21" s="21" t="s">
        <v>25</v>
      </c>
      <c r="F21" s="42"/>
      <c r="G21" s="42"/>
      <c r="H21" s="42" t="e">
        <f>$D$21</f>
        <v>#REF!</v>
      </c>
      <c r="I21" s="42" t="e">
        <f>$D$21</f>
        <v>#REF!</v>
      </c>
      <c r="J21" s="42" t="e">
        <f t="shared" ref="J21:AB21" si="5">$D$21</f>
        <v>#REF!</v>
      </c>
      <c r="K21" s="42" t="e">
        <f t="shared" si="5"/>
        <v>#REF!</v>
      </c>
      <c r="L21" s="42" t="e">
        <f t="shared" si="5"/>
        <v>#REF!</v>
      </c>
      <c r="M21" s="42" t="e">
        <f t="shared" si="5"/>
        <v>#REF!</v>
      </c>
      <c r="N21" s="42" t="e">
        <f t="shared" si="5"/>
        <v>#REF!</v>
      </c>
      <c r="O21" s="42" t="e">
        <f t="shared" si="5"/>
        <v>#REF!</v>
      </c>
      <c r="P21" s="42" t="e">
        <f t="shared" si="5"/>
        <v>#REF!</v>
      </c>
      <c r="Q21" s="42" t="e">
        <f t="shared" si="5"/>
        <v>#REF!</v>
      </c>
      <c r="R21" s="42" t="e">
        <f t="shared" si="5"/>
        <v>#REF!</v>
      </c>
      <c r="S21" s="42" t="e">
        <f t="shared" si="5"/>
        <v>#REF!</v>
      </c>
      <c r="T21" s="42" t="e">
        <f t="shared" si="5"/>
        <v>#REF!</v>
      </c>
      <c r="U21" s="42" t="e">
        <f t="shared" si="5"/>
        <v>#REF!</v>
      </c>
      <c r="V21" s="42" t="e">
        <f t="shared" si="5"/>
        <v>#REF!</v>
      </c>
      <c r="W21" s="42" t="e">
        <f t="shared" si="5"/>
        <v>#REF!</v>
      </c>
      <c r="X21" s="42" t="e">
        <f t="shared" si="5"/>
        <v>#REF!</v>
      </c>
      <c r="Y21" s="42" t="e">
        <f t="shared" si="5"/>
        <v>#REF!</v>
      </c>
      <c r="Z21" s="42" t="e">
        <f t="shared" si="5"/>
        <v>#REF!</v>
      </c>
      <c r="AA21" s="42" t="e">
        <f t="shared" si="5"/>
        <v>#REF!</v>
      </c>
      <c r="AB21" s="42" t="e">
        <f t="shared" si="5"/>
        <v>#REF!</v>
      </c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Q21" s="42"/>
      <c r="AR21" s="41" t="e">
        <f>AVERAGE(I21:AB21)</f>
        <v>#REF!</v>
      </c>
    </row>
    <row r="22" spans="1:46">
      <c r="C22" s="24" t="s">
        <v>26</v>
      </c>
      <c r="D22" s="71" t="e">
        <f>#REF!</f>
        <v>#REF!</v>
      </c>
      <c r="E22" s="21" t="s">
        <v>27</v>
      </c>
      <c r="F22" s="44"/>
      <c r="G22" s="44"/>
      <c r="H22" s="44" t="e">
        <f>$D$22</f>
        <v>#REF!</v>
      </c>
      <c r="I22" s="44" t="e">
        <f>$D$22</f>
        <v>#REF!</v>
      </c>
      <c r="J22" s="44" t="e">
        <f t="shared" ref="J22:AB22" si="6">$D$22</f>
        <v>#REF!</v>
      </c>
      <c r="K22" s="44" t="e">
        <f t="shared" si="6"/>
        <v>#REF!</v>
      </c>
      <c r="L22" s="44" t="e">
        <f t="shared" si="6"/>
        <v>#REF!</v>
      </c>
      <c r="M22" s="44" t="e">
        <f t="shared" si="6"/>
        <v>#REF!</v>
      </c>
      <c r="N22" s="44" t="e">
        <f t="shared" si="6"/>
        <v>#REF!</v>
      </c>
      <c r="O22" s="44" t="e">
        <f t="shared" si="6"/>
        <v>#REF!</v>
      </c>
      <c r="P22" s="44" t="e">
        <f t="shared" si="6"/>
        <v>#REF!</v>
      </c>
      <c r="Q22" s="44" t="e">
        <f t="shared" si="6"/>
        <v>#REF!</v>
      </c>
      <c r="R22" s="44" t="e">
        <f t="shared" si="6"/>
        <v>#REF!</v>
      </c>
      <c r="S22" s="44" t="e">
        <f t="shared" si="6"/>
        <v>#REF!</v>
      </c>
      <c r="T22" s="44" t="e">
        <f t="shared" si="6"/>
        <v>#REF!</v>
      </c>
      <c r="U22" s="44" t="e">
        <f t="shared" si="6"/>
        <v>#REF!</v>
      </c>
      <c r="V22" s="44" t="e">
        <f t="shared" si="6"/>
        <v>#REF!</v>
      </c>
      <c r="W22" s="44" t="e">
        <f t="shared" si="6"/>
        <v>#REF!</v>
      </c>
      <c r="X22" s="44" t="e">
        <f t="shared" si="6"/>
        <v>#REF!</v>
      </c>
      <c r="Y22" s="44" t="e">
        <f t="shared" si="6"/>
        <v>#REF!</v>
      </c>
      <c r="Z22" s="44" t="e">
        <f t="shared" si="6"/>
        <v>#REF!</v>
      </c>
      <c r="AA22" s="44" t="e">
        <f t="shared" si="6"/>
        <v>#REF!</v>
      </c>
      <c r="AB22" s="44" t="e">
        <f t="shared" si="6"/>
        <v>#REF!</v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Q22" s="44"/>
      <c r="AR22" s="75" t="e">
        <f>AVERAGE(I22:AB22)</f>
        <v>#REF!</v>
      </c>
    </row>
    <row r="23" spans="1:46">
      <c r="C23" s="24" t="s">
        <v>28</v>
      </c>
      <c r="D23" s="43"/>
      <c r="E23" s="21"/>
      <c r="F23" s="44"/>
      <c r="G23" s="44"/>
      <c r="H23" s="42">
        <v>12</v>
      </c>
      <c r="I23" s="42">
        <v>12</v>
      </c>
      <c r="J23" s="42">
        <v>12</v>
      </c>
      <c r="K23" s="42">
        <v>12</v>
      </c>
      <c r="L23" s="42">
        <v>12</v>
      </c>
      <c r="M23" s="42">
        <v>12</v>
      </c>
      <c r="N23" s="42">
        <v>12</v>
      </c>
      <c r="O23" s="42">
        <v>12</v>
      </c>
      <c r="P23" s="72">
        <v>12</v>
      </c>
      <c r="Q23" s="72">
        <v>12</v>
      </c>
      <c r="R23" s="42">
        <v>12</v>
      </c>
      <c r="S23" s="42">
        <v>12</v>
      </c>
      <c r="T23" s="42">
        <v>12</v>
      </c>
      <c r="U23" s="42">
        <v>12</v>
      </c>
      <c r="V23" s="42">
        <v>12</v>
      </c>
      <c r="W23" s="42">
        <v>12</v>
      </c>
      <c r="X23" s="42">
        <v>12</v>
      </c>
      <c r="Y23" s="42">
        <v>12</v>
      </c>
      <c r="Z23" s="42">
        <v>12</v>
      </c>
      <c r="AA23" s="42">
        <v>12</v>
      </c>
      <c r="AB23" s="42">
        <v>12</v>
      </c>
      <c r="AC23" s="72"/>
      <c r="AD23" s="7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Q23" s="27">
        <f>SUM(I23:AB23)</f>
        <v>240</v>
      </c>
      <c r="AR23" s="76">
        <f>AVERAGE(I23:AB23)</f>
        <v>12</v>
      </c>
      <c r="AT23">
        <f>75*8</f>
        <v>600</v>
      </c>
    </row>
    <row r="24" spans="1:46">
      <c r="C24" s="24" t="s">
        <v>29</v>
      </c>
      <c r="D24" s="28"/>
      <c r="E24" s="21"/>
      <c r="F24" s="45">
        <v>0</v>
      </c>
      <c r="G24" s="45">
        <v>0</v>
      </c>
      <c r="H24" s="45" t="e">
        <f>H25/6</f>
        <v>#REF!</v>
      </c>
      <c r="I24" s="45" t="e">
        <f t="shared" ref="I24:P24" si="7">I25/6</f>
        <v>#REF!</v>
      </c>
      <c r="J24" s="45" t="e">
        <f t="shared" si="7"/>
        <v>#REF!</v>
      </c>
      <c r="K24" s="45" t="e">
        <f t="shared" si="7"/>
        <v>#REF!</v>
      </c>
      <c r="L24" s="45" t="e">
        <f t="shared" si="7"/>
        <v>#REF!</v>
      </c>
      <c r="M24" s="45" t="e">
        <f t="shared" si="7"/>
        <v>#REF!</v>
      </c>
      <c r="N24" s="45" t="e">
        <f t="shared" si="7"/>
        <v>#REF!</v>
      </c>
      <c r="O24" s="45" t="e">
        <f t="shared" si="7"/>
        <v>#REF!</v>
      </c>
      <c r="P24" s="45" t="e">
        <f t="shared" si="7"/>
        <v>#REF!</v>
      </c>
      <c r="Q24" s="45" t="e">
        <f t="shared" ref="Q24:AA24" si="8">Q25/6</f>
        <v>#REF!</v>
      </c>
      <c r="R24" s="45" t="e">
        <f t="shared" si="8"/>
        <v>#REF!</v>
      </c>
      <c r="S24" s="45" t="e">
        <f t="shared" si="8"/>
        <v>#REF!</v>
      </c>
      <c r="T24" s="45" t="e">
        <f t="shared" si="8"/>
        <v>#REF!</v>
      </c>
      <c r="U24" s="45" t="e">
        <f t="shared" si="8"/>
        <v>#REF!</v>
      </c>
      <c r="V24" s="45" t="e">
        <f t="shared" si="8"/>
        <v>#REF!</v>
      </c>
      <c r="W24" s="45" t="e">
        <f t="shared" si="8"/>
        <v>#REF!</v>
      </c>
      <c r="X24" s="45" t="e">
        <f t="shared" si="8"/>
        <v>#REF!</v>
      </c>
      <c r="Y24" s="45" t="e">
        <f t="shared" si="8"/>
        <v>#REF!</v>
      </c>
      <c r="Z24" s="45" t="e">
        <f t="shared" si="8"/>
        <v>#REF!</v>
      </c>
      <c r="AA24" s="45" t="e">
        <f t="shared" si="8"/>
        <v>#REF!</v>
      </c>
      <c r="AB24" s="45" t="e">
        <f>AB14*#REF!*AB20*AB21*AB22</f>
        <v>#REF!</v>
      </c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Q24" s="27"/>
      <c r="AR24" s="76" t="e">
        <f>AVERAGE(I24:AB24)</f>
        <v>#REF!</v>
      </c>
    </row>
    <row r="25" spans="1:46">
      <c r="C25" s="24" t="s">
        <v>204</v>
      </c>
      <c r="D25" s="28"/>
      <c r="E25" s="21"/>
      <c r="F25" s="45"/>
      <c r="G25" s="45"/>
      <c r="H25" s="45" t="e">
        <f t="shared" ref="H25:AO25" si="9">H14*H15*H20*H21*H22</f>
        <v>#REF!</v>
      </c>
      <c r="I25" s="45" t="e">
        <f t="shared" si="9"/>
        <v>#REF!</v>
      </c>
      <c r="J25" s="45" t="e">
        <f t="shared" si="9"/>
        <v>#REF!</v>
      </c>
      <c r="K25" s="45" t="e">
        <f t="shared" si="9"/>
        <v>#REF!</v>
      </c>
      <c r="L25" s="45" t="e">
        <f t="shared" si="9"/>
        <v>#REF!</v>
      </c>
      <c r="M25" s="45" t="e">
        <f t="shared" si="9"/>
        <v>#REF!</v>
      </c>
      <c r="N25" s="45" t="e">
        <f t="shared" si="9"/>
        <v>#REF!</v>
      </c>
      <c r="O25" s="45" t="e">
        <f t="shared" si="9"/>
        <v>#REF!</v>
      </c>
      <c r="P25" s="45" t="e">
        <f t="shared" si="9"/>
        <v>#REF!</v>
      </c>
      <c r="Q25" s="45" t="e">
        <f t="shared" si="9"/>
        <v>#REF!</v>
      </c>
      <c r="R25" s="45" t="e">
        <f t="shared" si="9"/>
        <v>#REF!</v>
      </c>
      <c r="S25" s="45" t="e">
        <f t="shared" si="9"/>
        <v>#REF!</v>
      </c>
      <c r="T25" s="45" t="e">
        <f t="shared" si="9"/>
        <v>#REF!</v>
      </c>
      <c r="U25" s="45" t="e">
        <f t="shared" si="9"/>
        <v>#REF!</v>
      </c>
      <c r="V25" s="45" t="e">
        <f t="shared" si="9"/>
        <v>#REF!</v>
      </c>
      <c r="W25" s="45" t="e">
        <f t="shared" si="9"/>
        <v>#REF!</v>
      </c>
      <c r="X25" s="45" t="e">
        <f t="shared" si="9"/>
        <v>#REF!</v>
      </c>
      <c r="Y25" s="45" t="e">
        <f t="shared" si="9"/>
        <v>#REF!</v>
      </c>
      <c r="Z25" s="45" t="e">
        <f t="shared" si="9"/>
        <v>#REF!</v>
      </c>
      <c r="AA25" s="45" t="e">
        <f t="shared" si="9"/>
        <v>#REF!</v>
      </c>
      <c r="AB25" s="45" t="e">
        <f t="shared" si="9"/>
        <v>#REF!</v>
      </c>
      <c r="AC25" s="45">
        <f t="shared" si="9"/>
        <v>0</v>
      </c>
      <c r="AD25" s="45">
        <f t="shared" si="9"/>
        <v>0</v>
      </c>
      <c r="AE25" s="45">
        <f t="shared" si="9"/>
        <v>0</v>
      </c>
      <c r="AF25" s="45">
        <f t="shared" si="9"/>
        <v>0</v>
      </c>
      <c r="AG25" s="45">
        <f t="shared" si="9"/>
        <v>0</v>
      </c>
      <c r="AH25" s="45">
        <f t="shared" si="9"/>
        <v>0</v>
      </c>
      <c r="AI25" s="45">
        <f t="shared" si="9"/>
        <v>0</v>
      </c>
      <c r="AJ25" s="45">
        <f t="shared" si="9"/>
        <v>0</v>
      </c>
      <c r="AK25" s="45">
        <f t="shared" si="9"/>
        <v>0</v>
      </c>
      <c r="AL25" s="45">
        <f t="shared" si="9"/>
        <v>0</v>
      </c>
      <c r="AM25" s="45">
        <f t="shared" si="9"/>
        <v>0</v>
      </c>
      <c r="AN25" s="45">
        <f t="shared" si="9"/>
        <v>0</v>
      </c>
      <c r="AO25" s="45">
        <f t="shared" si="9"/>
        <v>0</v>
      </c>
      <c r="AQ25" s="27"/>
      <c r="AR25" s="76"/>
    </row>
    <row r="26" spans="1:46">
      <c r="A26" s="22">
        <v>0</v>
      </c>
      <c r="C26" s="24" t="s">
        <v>30</v>
      </c>
      <c r="D26" s="28"/>
      <c r="E26" s="21"/>
      <c r="F26" s="45">
        <v>0</v>
      </c>
      <c r="G26" s="45">
        <v>0</v>
      </c>
      <c r="H26" s="45" t="e">
        <f>H24*#REF!*12</f>
        <v>#REF!</v>
      </c>
      <c r="I26" s="45" t="e">
        <f>I24*#REF!*12</f>
        <v>#REF!</v>
      </c>
      <c r="J26" s="45" t="e">
        <f>J24*#REF!*12</f>
        <v>#REF!</v>
      </c>
      <c r="K26" s="45" t="e">
        <f>K24*#REF!*12</f>
        <v>#REF!</v>
      </c>
      <c r="L26" s="45" t="e">
        <f>L24*#REF!*12</f>
        <v>#REF!</v>
      </c>
      <c r="M26" s="45" t="e">
        <f>M24*#REF!*12</f>
        <v>#REF!</v>
      </c>
      <c r="N26" s="45" t="e">
        <f>N24*#REF!*12</f>
        <v>#REF!</v>
      </c>
      <c r="O26" s="45" t="e">
        <f>O24*#REF!*12</f>
        <v>#REF!</v>
      </c>
      <c r="P26" s="45" t="e">
        <f>P24*#REF!*12</f>
        <v>#REF!</v>
      </c>
      <c r="Q26" s="45" t="e">
        <f>Q24*#REF!*12</f>
        <v>#REF!</v>
      </c>
      <c r="R26" s="45" t="e">
        <f>R24*#REF!*12</f>
        <v>#REF!</v>
      </c>
      <c r="S26" s="45" t="e">
        <f>S24*#REF!*12</f>
        <v>#REF!</v>
      </c>
      <c r="T26" s="45" t="e">
        <f>T24*#REF!*12</f>
        <v>#REF!</v>
      </c>
      <c r="U26" s="45" t="e">
        <f>U24*#REF!*12</f>
        <v>#REF!</v>
      </c>
      <c r="V26" s="45" t="e">
        <f>V24*#REF!*12</f>
        <v>#REF!</v>
      </c>
      <c r="W26" s="45" t="e">
        <f>W24*#REF!*12</f>
        <v>#REF!</v>
      </c>
      <c r="X26" s="45" t="e">
        <f>X24*#REF!*12</f>
        <v>#REF!</v>
      </c>
      <c r="Y26" s="45" t="e">
        <f>Y24*#REF!*12</f>
        <v>#REF!</v>
      </c>
      <c r="Z26" s="45" t="e">
        <f>Z24*#REF!*12</f>
        <v>#REF!</v>
      </c>
      <c r="AA26" s="45" t="e">
        <f>AA24*#REF!*12</f>
        <v>#REF!</v>
      </c>
      <c r="AB26" s="45" t="e">
        <f>AB24*#REF!*12</f>
        <v>#REF!</v>
      </c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Q26" s="27" t="e">
        <f>SUM(I26:AB26)</f>
        <v>#REF!</v>
      </c>
      <c r="AR26" s="77" t="e">
        <f>AVERAGE(I26:AB26)</f>
        <v>#REF!</v>
      </c>
    </row>
    <row r="27" spans="1:46" ht="5.0999999999999996" customHeight="1"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Q27" s="32"/>
      <c r="AR27" s="32"/>
    </row>
    <row r="28" spans="1:46">
      <c r="C28" s="21" t="s">
        <v>31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Q28" s="32"/>
      <c r="AR28" s="32"/>
    </row>
    <row r="29" spans="1:46">
      <c r="C29" s="24" t="s">
        <v>32</v>
      </c>
      <c r="F29" s="45">
        <v>0</v>
      </c>
      <c r="G29" s="45">
        <v>0</v>
      </c>
      <c r="H29" s="45" t="e">
        <f t="shared" ref="H29:AB29" si="10">MIN(H12,H24)</f>
        <v>#REF!</v>
      </c>
      <c r="I29" s="45" t="e">
        <f t="shared" si="10"/>
        <v>#REF!</v>
      </c>
      <c r="J29" s="45" t="e">
        <f t="shared" si="10"/>
        <v>#REF!</v>
      </c>
      <c r="K29" s="45" t="e">
        <f t="shared" si="10"/>
        <v>#REF!</v>
      </c>
      <c r="L29" s="45" t="e">
        <f t="shared" si="10"/>
        <v>#REF!</v>
      </c>
      <c r="M29" s="45" t="e">
        <f t="shared" si="10"/>
        <v>#REF!</v>
      </c>
      <c r="N29" s="45" t="e">
        <f t="shared" si="10"/>
        <v>#REF!</v>
      </c>
      <c r="O29" s="45" t="e">
        <f t="shared" si="10"/>
        <v>#REF!</v>
      </c>
      <c r="P29" s="45" t="e">
        <f t="shared" si="10"/>
        <v>#REF!</v>
      </c>
      <c r="Q29" s="45" t="e">
        <f t="shared" si="10"/>
        <v>#REF!</v>
      </c>
      <c r="R29" s="45" t="e">
        <f t="shared" si="10"/>
        <v>#REF!</v>
      </c>
      <c r="S29" s="45" t="e">
        <f t="shared" si="10"/>
        <v>#REF!</v>
      </c>
      <c r="T29" s="45" t="e">
        <f t="shared" si="10"/>
        <v>#REF!</v>
      </c>
      <c r="U29" s="45" t="e">
        <f t="shared" si="10"/>
        <v>#REF!</v>
      </c>
      <c r="V29" s="45" t="e">
        <f t="shared" si="10"/>
        <v>#REF!</v>
      </c>
      <c r="W29" s="45" t="e">
        <f t="shared" si="10"/>
        <v>#REF!</v>
      </c>
      <c r="X29" s="45" t="e">
        <f t="shared" si="10"/>
        <v>#REF!</v>
      </c>
      <c r="Y29" s="45" t="e">
        <f t="shared" si="10"/>
        <v>#REF!</v>
      </c>
      <c r="Z29" s="45" t="e">
        <f t="shared" si="10"/>
        <v>#REF!</v>
      </c>
      <c r="AA29" s="45" t="e">
        <f t="shared" si="10"/>
        <v>#REF!</v>
      </c>
      <c r="AB29" s="45" t="e">
        <f t="shared" si="10"/>
        <v>#REF!</v>
      </c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Q29" s="45"/>
      <c r="AR29" s="77" t="e">
        <f>AVERAGE(H29:AA29)</f>
        <v>#REF!</v>
      </c>
      <c r="AS29" s="46" t="e">
        <f>AR29/AR24</f>
        <v>#REF!</v>
      </c>
    </row>
    <row r="30" spans="1:46">
      <c r="C30" s="24" t="s">
        <v>33</v>
      </c>
      <c r="F30" s="45">
        <v>0</v>
      </c>
      <c r="G30" s="45">
        <v>0</v>
      </c>
      <c r="H30" s="45" t="e">
        <f>IF(H24&gt;H12,H12*#REF!*H23,0)</f>
        <v>#REF!</v>
      </c>
      <c r="I30" s="45" t="e">
        <f>IF(I24&gt;I12,I12*#REF!*I23,0)</f>
        <v>#REF!</v>
      </c>
      <c r="J30" s="45" t="e">
        <f>IF(J24&gt;J12,J12*#REF!*J23,0)</f>
        <v>#REF!</v>
      </c>
      <c r="K30" s="45" t="e">
        <f>IF(K24&gt;K12,K12*#REF!*K23,0)</f>
        <v>#REF!</v>
      </c>
      <c r="L30" s="45" t="e">
        <f>IF(L24&gt;L12,L12*#REF!*L23,0)</f>
        <v>#REF!</v>
      </c>
      <c r="M30" s="45" t="e">
        <f>IF(M24&gt;M12,M12*#REF!*M23,0)</f>
        <v>#REF!</v>
      </c>
      <c r="N30" s="45" t="e">
        <f>IF(N24&gt;N12,N12*#REF!*N23,0)</f>
        <v>#REF!</v>
      </c>
      <c r="O30" s="45" t="e">
        <f>IF(O24&gt;O12,O12*#REF!*O23,0)</f>
        <v>#REF!</v>
      </c>
      <c r="P30" s="45" t="e">
        <f>IF(P24&gt;P12,P12*#REF!*P23,0)</f>
        <v>#REF!</v>
      </c>
      <c r="Q30" s="45" t="e">
        <f>IF(Q24&gt;Q12,Q12*#REF!*Q23,0)</f>
        <v>#REF!</v>
      </c>
      <c r="R30" s="45" t="e">
        <f>IF(R24&gt;R12,R12*#REF!*R23,0)</f>
        <v>#REF!</v>
      </c>
      <c r="S30" s="45" t="e">
        <f>IF(S24&gt;S12,S12*#REF!*S23,0)</f>
        <v>#REF!</v>
      </c>
      <c r="T30" s="45" t="e">
        <f>IF(T24&gt;T12,T12*#REF!*T23,0)</f>
        <v>#REF!</v>
      </c>
      <c r="U30" s="45" t="e">
        <f>IF(U24&gt;U12,U12*#REF!*U23,0)</f>
        <v>#REF!</v>
      </c>
      <c r="V30" s="45" t="e">
        <f>IF(V24&gt;V12,V12*#REF!*V23,0)</f>
        <v>#REF!</v>
      </c>
      <c r="W30" s="45" t="e">
        <f>IF(W24&gt;W12,W12*#REF!*W23,0)</f>
        <v>#REF!</v>
      </c>
      <c r="X30" s="45" t="e">
        <f>IF(X24&gt;X12,X12*#REF!*X23,0)</f>
        <v>#REF!</v>
      </c>
      <c r="Y30" s="45" t="e">
        <f>IF(Y24&gt;Y12,Y12*#REF!*Y23,0)</f>
        <v>#REF!</v>
      </c>
      <c r="Z30" s="45" t="e">
        <f>IF(Z24&gt;Z12,Z12*#REF!*Z23,0)</f>
        <v>#REF!</v>
      </c>
      <c r="AA30" s="45" t="e">
        <f>IF(AA24&gt;AA12,AA12*#REF!*AA23,0)</f>
        <v>#REF!</v>
      </c>
      <c r="AB30" s="45" t="e">
        <f>IF(AB24&gt;AB12,AB12*#REF!*AB23,0)</f>
        <v>#REF!</v>
      </c>
      <c r="AC30" s="45">
        <f>IF(AC24&gt;AC12,AC12*#REF!*AC23,0)</f>
        <v>0</v>
      </c>
      <c r="AD30" s="45">
        <f>IF(AD24&gt;AD12,AD12*#REF!*AD23,0)</f>
        <v>0</v>
      </c>
      <c r="AE30" s="45">
        <f>IF(AE24&gt;AE12,AE12*#REF!*AE23,0)</f>
        <v>0</v>
      </c>
      <c r="AF30" s="45">
        <f>IF(AF24&gt;AF12,AF12*#REF!*AF23,0)</f>
        <v>0</v>
      </c>
      <c r="AG30" s="45">
        <f>IF(AG24&gt;AG12,AG12*#REF!*AG23,0)</f>
        <v>0</v>
      </c>
      <c r="AH30" s="45">
        <f>IF(AH24&gt;AH12,AH12*#REF!*AH23,0)</f>
        <v>0</v>
      </c>
      <c r="AI30" s="45">
        <f>IF(AI24&gt;AI12,AI12*#REF!*AI23,0)</f>
        <v>0</v>
      </c>
      <c r="AJ30" s="45">
        <f>IF(AJ24&gt;AJ12,AJ12*#REF!*AJ23,0)</f>
        <v>0</v>
      </c>
      <c r="AK30" s="45">
        <f>IF(AK24&gt;AK12,AK12*#REF!*AK23,0)</f>
        <v>0</v>
      </c>
      <c r="AL30" s="45">
        <f>IF(AL24&gt;AL12,AL12*#REF!*AL23,0)</f>
        <v>0</v>
      </c>
      <c r="AM30" s="45">
        <f>IF(AM24&gt;AM12,AM12*#REF!*AM23,0)</f>
        <v>0</v>
      </c>
      <c r="AN30" s="45">
        <f>IF(AN24&gt;AN12,AN12*#REF!*AN23,0)</f>
        <v>0</v>
      </c>
      <c r="AO30" s="45">
        <f>IF(AO24&gt;AO12,AO12*#REF!*AO23,0)</f>
        <v>0</v>
      </c>
      <c r="AQ30" s="27" t="e">
        <f>SUM(H30:AA30)</f>
        <v>#REF!</v>
      </c>
      <c r="AR30" s="77" t="e">
        <f>AVERAGE(H30:AA30)</f>
        <v>#REF!</v>
      </c>
    </row>
    <row r="31" spans="1:46" ht="5.0999999999999996" customHeight="1">
      <c r="C31" s="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Q31" s="32"/>
      <c r="AR31" s="32"/>
    </row>
    <row r="32" spans="1:46">
      <c r="C32" s="24" t="s">
        <v>34</v>
      </c>
      <c r="D32" s="5"/>
      <c r="F32" s="45">
        <v>0</v>
      </c>
      <c r="G32" s="45">
        <v>0</v>
      </c>
      <c r="H32" s="82" t="e">
        <f>H33/H23/#REF!</f>
        <v>#REF!</v>
      </c>
      <c r="I32" s="82" t="e">
        <f>I33/I23/#REF!</f>
        <v>#REF!</v>
      </c>
      <c r="J32" s="82" t="e">
        <f>J33/J23/#REF!</f>
        <v>#REF!</v>
      </c>
      <c r="K32" s="82" t="e">
        <f>K33/K23/#REF!</f>
        <v>#REF!</v>
      </c>
      <c r="L32" s="82" t="e">
        <f>L33/L23/#REF!</f>
        <v>#REF!</v>
      </c>
      <c r="M32" s="82" t="e">
        <f>M33/M23/#REF!</f>
        <v>#REF!</v>
      </c>
      <c r="N32" s="82" t="e">
        <f>N33/N23/#REF!</f>
        <v>#REF!</v>
      </c>
      <c r="O32" s="82" t="e">
        <f>O33/O23/#REF!</f>
        <v>#REF!</v>
      </c>
      <c r="P32" s="82" t="e">
        <f>P33/P23/#REF!</f>
        <v>#REF!</v>
      </c>
      <c r="Q32" s="82" t="e">
        <f>Q33/Q23/#REF!</f>
        <v>#REF!</v>
      </c>
      <c r="R32" s="82" t="e">
        <f>R33/R23/#REF!</f>
        <v>#REF!</v>
      </c>
      <c r="S32" s="82" t="e">
        <f>S33/S23/#REF!</f>
        <v>#REF!</v>
      </c>
      <c r="T32" s="82" t="e">
        <f>T33/T23/#REF!</f>
        <v>#REF!</v>
      </c>
      <c r="U32" s="82" t="e">
        <f>U33/U23/#REF!</f>
        <v>#REF!</v>
      </c>
      <c r="V32" s="82" t="e">
        <f>V33/V23/#REF!</f>
        <v>#REF!</v>
      </c>
      <c r="W32" s="82" t="e">
        <f>W33/W23/#REF!</f>
        <v>#REF!</v>
      </c>
      <c r="X32" s="82" t="e">
        <f>X33/X23/#REF!</f>
        <v>#REF!</v>
      </c>
      <c r="Y32" s="82" t="e">
        <f>Y33/Y23/#REF!</f>
        <v>#REF!</v>
      </c>
      <c r="Z32" s="82" t="e">
        <f>Z33/Z23/#REF!</f>
        <v>#REF!</v>
      </c>
      <c r="AA32" s="82" t="e">
        <f>AA33/AA23/#REF!</f>
        <v>#REF!</v>
      </c>
      <c r="AB32" s="82" t="e">
        <f>AB33/AB23/#REF!</f>
        <v>#REF!</v>
      </c>
      <c r="AC32" s="82" t="e">
        <f>AC33/AC23/#REF!</f>
        <v>#DIV/0!</v>
      </c>
      <c r="AD32" s="82" t="e">
        <f>AD33/AD23/#REF!</f>
        <v>#DIV/0!</v>
      </c>
      <c r="AE32" s="82" t="e">
        <f>AE33/AE23/#REF!</f>
        <v>#DIV/0!</v>
      </c>
      <c r="AF32" s="82" t="e">
        <f>AF33/AF23/#REF!</f>
        <v>#DIV/0!</v>
      </c>
      <c r="AG32" s="82" t="e">
        <f>AG33/AG23/#REF!</f>
        <v>#DIV/0!</v>
      </c>
      <c r="AH32" s="82" t="e">
        <f>AH33/AH23/#REF!</f>
        <v>#DIV/0!</v>
      </c>
      <c r="AI32" s="82" t="e">
        <f>AI33/AI23/#REF!</f>
        <v>#DIV/0!</v>
      </c>
      <c r="AJ32" s="82" t="e">
        <f>AJ33/AJ23/#REF!</f>
        <v>#DIV/0!</v>
      </c>
      <c r="AK32" s="82" t="e">
        <f>AK33/AK23/#REF!</f>
        <v>#DIV/0!</v>
      </c>
      <c r="AL32" s="82" t="e">
        <f>AL33/AL23/#REF!</f>
        <v>#DIV/0!</v>
      </c>
      <c r="AM32" s="82" t="e">
        <f>AM33/AM23/#REF!</f>
        <v>#DIV/0!</v>
      </c>
      <c r="AN32" s="82" t="e">
        <f>AN33/AN23/#REF!</f>
        <v>#DIV/0!</v>
      </c>
      <c r="AO32" s="82" t="e">
        <f>AO33/AO23/#REF!</f>
        <v>#DIV/0!</v>
      </c>
      <c r="AQ32" s="27" t="e">
        <f>SUM(H32:AA32)</f>
        <v>#REF!</v>
      </c>
      <c r="AR32" s="77" t="e">
        <f>AVERAGE(H32:AA32)</f>
        <v>#REF!</v>
      </c>
      <c r="AS32" s="46" t="e">
        <f>AR32/AR24</f>
        <v>#REF!</v>
      </c>
    </row>
    <row r="33" spans="2:47">
      <c r="C33" s="24" t="s">
        <v>35</v>
      </c>
      <c r="F33" s="45">
        <v>0</v>
      </c>
      <c r="G33" s="45">
        <v>0</v>
      </c>
      <c r="H33" s="82" t="e">
        <f t="shared" ref="H33:AB33" si="11">H11-H30</f>
        <v>#REF!</v>
      </c>
      <c r="I33" s="82" t="e">
        <f t="shared" si="11"/>
        <v>#REF!</v>
      </c>
      <c r="J33" s="82" t="e">
        <f t="shared" si="11"/>
        <v>#REF!</v>
      </c>
      <c r="K33" s="82" t="e">
        <f t="shared" si="11"/>
        <v>#REF!</v>
      </c>
      <c r="L33" s="82" t="e">
        <f t="shared" si="11"/>
        <v>#REF!</v>
      </c>
      <c r="M33" s="82" t="e">
        <f t="shared" si="11"/>
        <v>#REF!</v>
      </c>
      <c r="N33" s="82" t="e">
        <f t="shared" si="11"/>
        <v>#REF!</v>
      </c>
      <c r="O33" s="82" t="e">
        <f t="shared" si="11"/>
        <v>#REF!</v>
      </c>
      <c r="P33" s="82" t="e">
        <f t="shared" si="11"/>
        <v>#REF!</v>
      </c>
      <c r="Q33" s="82" t="e">
        <f t="shared" si="11"/>
        <v>#REF!</v>
      </c>
      <c r="R33" s="82" t="e">
        <f t="shared" si="11"/>
        <v>#REF!</v>
      </c>
      <c r="S33" s="82" t="e">
        <f t="shared" si="11"/>
        <v>#REF!</v>
      </c>
      <c r="T33" s="82" t="e">
        <f t="shared" si="11"/>
        <v>#REF!</v>
      </c>
      <c r="U33" s="82" t="e">
        <f t="shared" si="11"/>
        <v>#REF!</v>
      </c>
      <c r="V33" s="82" t="e">
        <f t="shared" si="11"/>
        <v>#REF!</v>
      </c>
      <c r="W33" s="82" t="e">
        <f t="shared" si="11"/>
        <v>#REF!</v>
      </c>
      <c r="X33" s="82" t="e">
        <f t="shared" si="11"/>
        <v>#REF!</v>
      </c>
      <c r="Y33" s="82" t="e">
        <f t="shared" si="11"/>
        <v>#REF!</v>
      </c>
      <c r="Z33" s="82" t="e">
        <f t="shared" si="11"/>
        <v>#REF!</v>
      </c>
      <c r="AA33" s="82" t="e">
        <f t="shared" si="11"/>
        <v>#REF!</v>
      </c>
      <c r="AB33" s="82" t="e">
        <f t="shared" si="11"/>
        <v>#REF!</v>
      </c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Q33" s="78" t="e">
        <f>SUM(H33:AA33)</f>
        <v>#REF!</v>
      </c>
      <c r="AR33" s="79" t="e">
        <f>AVERAGE(H33:AA33)</f>
        <v>#REF!</v>
      </c>
    </row>
    <row r="34" spans="2:47" ht="5.0999999999999996" customHeight="1"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Q34" s="32"/>
      <c r="AR34" s="32"/>
    </row>
    <row r="35" spans="2:47" ht="5.0999999999999996" customHeight="1"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Q35" s="32"/>
      <c r="AR35" s="32"/>
    </row>
    <row r="36" spans="2:47" ht="15" customHeight="1">
      <c r="C36" s="21" t="s">
        <v>95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Q36" s="32"/>
      <c r="AR36" s="32"/>
    </row>
    <row r="37" spans="2:47" ht="5.0999999999999996" customHeight="1"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Q37" s="32"/>
      <c r="AR37" s="32"/>
    </row>
    <row r="38" spans="2:47">
      <c r="C38" s="91" t="s">
        <v>98</v>
      </c>
      <c r="D38" s="47" t="e">
        <f>SUM(I38:AA38)/SUM(H30:AA30)</f>
        <v>#REF!</v>
      </c>
      <c r="E38" s="21" t="s">
        <v>37</v>
      </c>
      <c r="F38" s="48">
        <v>0</v>
      </c>
      <c r="G38" s="48">
        <v>0</v>
      </c>
      <c r="H38" s="48" t="e">
        <f>H42</f>
        <v>#REF!</v>
      </c>
      <c r="I38" s="48" t="e">
        <f>I42</f>
        <v>#REF!</v>
      </c>
      <c r="J38" s="48" t="e">
        <f>J42</f>
        <v>#REF!</v>
      </c>
      <c r="K38" s="48" t="e">
        <f>K42</f>
        <v>#REF!</v>
      </c>
      <c r="L38" s="48" t="e">
        <f>L42</f>
        <v>#REF!</v>
      </c>
      <c r="M38" s="48" t="e">
        <f>M47</f>
        <v>#REF!</v>
      </c>
      <c r="N38" s="48" t="e">
        <f t="shared" ref="N38:AO38" si="12">N47</f>
        <v>#REF!</v>
      </c>
      <c r="O38" s="48" t="e">
        <f t="shared" si="12"/>
        <v>#REF!</v>
      </c>
      <c r="P38" s="48" t="e">
        <f t="shared" si="12"/>
        <v>#REF!</v>
      </c>
      <c r="Q38" s="48" t="e">
        <f t="shared" si="12"/>
        <v>#REF!</v>
      </c>
      <c r="R38" s="48" t="e">
        <f t="shared" si="12"/>
        <v>#REF!</v>
      </c>
      <c r="S38" s="48" t="e">
        <f t="shared" si="12"/>
        <v>#REF!</v>
      </c>
      <c r="T38" s="48" t="e">
        <f t="shared" si="12"/>
        <v>#REF!</v>
      </c>
      <c r="U38" s="48" t="e">
        <f t="shared" si="12"/>
        <v>#REF!</v>
      </c>
      <c r="V38" s="48" t="e">
        <f t="shared" si="12"/>
        <v>#REF!</v>
      </c>
      <c r="W38" s="48" t="e">
        <f t="shared" si="12"/>
        <v>#REF!</v>
      </c>
      <c r="X38" s="48" t="e">
        <f t="shared" si="12"/>
        <v>#REF!</v>
      </c>
      <c r="Y38" s="48" t="e">
        <f t="shared" si="12"/>
        <v>#REF!</v>
      </c>
      <c r="Z38" s="48" t="e">
        <f t="shared" si="12"/>
        <v>#REF!</v>
      </c>
      <c r="AA38" s="48" t="e">
        <f t="shared" si="12"/>
        <v>#REF!</v>
      </c>
      <c r="AB38" s="48" t="e">
        <f t="shared" si="12"/>
        <v>#REF!</v>
      </c>
      <c r="AC38" s="48">
        <f t="shared" si="12"/>
        <v>0</v>
      </c>
      <c r="AD38" s="48">
        <f t="shared" si="12"/>
        <v>0</v>
      </c>
      <c r="AE38" s="48">
        <f t="shared" si="12"/>
        <v>0</v>
      </c>
      <c r="AF38" s="48">
        <f t="shared" si="12"/>
        <v>0</v>
      </c>
      <c r="AG38" s="48">
        <f t="shared" si="12"/>
        <v>0</v>
      </c>
      <c r="AH38" s="48">
        <f t="shared" si="12"/>
        <v>0</v>
      </c>
      <c r="AI38" s="48">
        <f t="shared" si="12"/>
        <v>0</v>
      </c>
      <c r="AJ38" s="48">
        <f t="shared" si="12"/>
        <v>0</v>
      </c>
      <c r="AK38" s="48">
        <f t="shared" si="12"/>
        <v>0</v>
      </c>
      <c r="AL38" s="48">
        <f t="shared" si="12"/>
        <v>0</v>
      </c>
      <c r="AM38" s="48">
        <f t="shared" si="12"/>
        <v>0</v>
      </c>
      <c r="AN38" s="48">
        <f t="shared" si="12"/>
        <v>0</v>
      </c>
      <c r="AO38" s="48">
        <f t="shared" si="12"/>
        <v>0</v>
      </c>
      <c r="AQ38" s="27" t="e">
        <f>SUM(H38:AA38)</f>
        <v>#REF!</v>
      </c>
      <c r="AR38" s="77" t="e">
        <f>AVERAGE(H38:AA38)</f>
        <v>#REF!</v>
      </c>
      <c r="AS38" s="50">
        <v>0</v>
      </c>
    </row>
    <row r="39" spans="2:47">
      <c r="B39" s="51"/>
      <c r="C39" s="73" t="s">
        <v>73</v>
      </c>
      <c r="D39" s="53" t="e">
        <f>SUM(H39:AA39)/SUM(H30:AA30)</f>
        <v>#REF!</v>
      </c>
      <c r="E39" s="22" t="s">
        <v>37</v>
      </c>
      <c r="F39" s="50">
        <v>0</v>
      </c>
      <c r="G39" s="50">
        <v>0</v>
      </c>
      <c r="H39" s="50" t="e">
        <f t="shared" ref="H39:L40" si="13">H44</f>
        <v>#REF!</v>
      </c>
      <c r="I39" s="50" t="e">
        <f t="shared" si="13"/>
        <v>#REF!</v>
      </c>
      <c r="J39" s="50" t="e">
        <f t="shared" si="13"/>
        <v>#REF!</v>
      </c>
      <c r="K39" s="50" t="e">
        <f t="shared" si="13"/>
        <v>#REF!</v>
      </c>
      <c r="L39" s="50" t="e">
        <f t="shared" si="13"/>
        <v>#REF!</v>
      </c>
      <c r="M39" s="50" t="e">
        <f>M49</f>
        <v>#REF!</v>
      </c>
      <c r="N39" s="50" t="e">
        <f t="shared" ref="N39:AO39" si="14">N49</f>
        <v>#REF!</v>
      </c>
      <c r="O39" s="50" t="e">
        <f t="shared" si="14"/>
        <v>#REF!</v>
      </c>
      <c r="P39" s="50" t="e">
        <f t="shared" si="14"/>
        <v>#REF!</v>
      </c>
      <c r="Q39" s="50" t="e">
        <f t="shared" si="14"/>
        <v>#REF!</v>
      </c>
      <c r="R39" s="50" t="e">
        <f t="shared" si="14"/>
        <v>#REF!</v>
      </c>
      <c r="S39" s="50" t="e">
        <f t="shared" si="14"/>
        <v>#REF!</v>
      </c>
      <c r="T39" s="50" t="e">
        <f t="shared" si="14"/>
        <v>#REF!</v>
      </c>
      <c r="U39" s="50" t="e">
        <f t="shared" si="14"/>
        <v>#REF!</v>
      </c>
      <c r="V39" s="50" t="e">
        <f t="shared" si="14"/>
        <v>#REF!</v>
      </c>
      <c r="W39" s="50" t="e">
        <f t="shared" si="14"/>
        <v>#REF!</v>
      </c>
      <c r="X39" s="50" t="e">
        <f t="shared" si="14"/>
        <v>#REF!</v>
      </c>
      <c r="Y39" s="50" t="e">
        <f t="shared" si="14"/>
        <v>#REF!</v>
      </c>
      <c r="Z39" s="50" t="e">
        <f t="shared" si="14"/>
        <v>#REF!</v>
      </c>
      <c r="AA39" s="50" t="e">
        <f t="shared" si="14"/>
        <v>#REF!</v>
      </c>
      <c r="AB39" s="50" t="e">
        <f t="shared" si="14"/>
        <v>#REF!</v>
      </c>
      <c r="AC39" s="50">
        <f t="shared" si="14"/>
        <v>0</v>
      </c>
      <c r="AD39" s="50">
        <f t="shared" si="14"/>
        <v>0</v>
      </c>
      <c r="AE39" s="50">
        <f t="shared" si="14"/>
        <v>0</v>
      </c>
      <c r="AF39" s="50">
        <f t="shared" si="14"/>
        <v>0</v>
      </c>
      <c r="AG39" s="50">
        <f t="shared" si="14"/>
        <v>0</v>
      </c>
      <c r="AH39" s="50">
        <f t="shared" si="14"/>
        <v>0</v>
      </c>
      <c r="AI39" s="50">
        <f t="shared" si="14"/>
        <v>0</v>
      </c>
      <c r="AJ39" s="50">
        <f t="shared" si="14"/>
        <v>0</v>
      </c>
      <c r="AK39" s="50">
        <f t="shared" si="14"/>
        <v>0</v>
      </c>
      <c r="AL39" s="50">
        <f t="shared" si="14"/>
        <v>0</v>
      </c>
      <c r="AM39" s="50">
        <f t="shared" si="14"/>
        <v>0</v>
      </c>
      <c r="AN39" s="50">
        <f t="shared" si="14"/>
        <v>0</v>
      </c>
      <c r="AO39" s="50">
        <f t="shared" si="14"/>
        <v>0</v>
      </c>
      <c r="AQ39" s="27" t="e">
        <f>SUM(H39:AA39)</f>
        <v>#REF!</v>
      </c>
      <c r="AR39" s="77" t="e">
        <f>AVERAGE(H39:AA39)</f>
        <v>#REF!</v>
      </c>
      <c r="AS39" s="22" t="s">
        <v>73</v>
      </c>
      <c r="AT39" s="50" t="e">
        <f>AR39/(#REF!*12)</f>
        <v>#REF!</v>
      </c>
      <c r="AU39" s="223" t="s">
        <v>69</v>
      </c>
    </row>
    <row r="40" spans="2:47">
      <c r="B40" s="51"/>
      <c r="C40" s="73" t="s">
        <v>74</v>
      </c>
      <c r="D40" s="53" t="e">
        <f>SUM(H40:AA40)/SUM(H30:AA30)</f>
        <v>#REF!</v>
      </c>
      <c r="E40" s="22" t="s">
        <v>37</v>
      </c>
      <c r="F40" s="50">
        <v>0</v>
      </c>
      <c r="G40" s="50">
        <v>0</v>
      </c>
      <c r="H40" s="50" t="e">
        <f>H45</f>
        <v>#REF!</v>
      </c>
      <c r="I40" s="50" t="e">
        <f t="shared" si="13"/>
        <v>#REF!</v>
      </c>
      <c r="J40" s="50" t="e">
        <f t="shared" si="13"/>
        <v>#REF!</v>
      </c>
      <c r="K40" s="50" t="e">
        <f t="shared" si="13"/>
        <v>#REF!</v>
      </c>
      <c r="L40" s="50" t="e">
        <f t="shared" si="13"/>
        <v>#REF!</v>
      </c>
      <c r="M40" s="50" t="e">
        <f>M50</f>
        <v>#REF!</v>
      </c>
      <c r="N40" s="50" t="e">
        <f t="shared" ref="N40:AO40" si="15">N50</f>
        <v>#REF!</v>
      </c>
      <c r="O40" s="50" t="e">
        <f t="shared" si="15"/>
        <v>#REF!</v>
      </c>
      <c r="P40" s="50" t="e">
        <f t="shared" si="15"/>
        <v>#REF!</v>
      </c>
      <c r="Q40" s="50" t="e">
        <f t="shared" si="15"/>
        <v>#REF!</v>
      </c>
      <c r="R40" s="50" t="e">
        <f t="shared" si="15"/>
        <v>#REF!</v>
      </c>
      <c r="S40" s="50" t="e">
        <f t="shared" si="15"/>
        <v>#REF!</v>
      </c>
      <c r="T40" s="50" t="e">
        <f t="shared" si="15"/>
        <v>#REF!</v>
      </c>
      <c r="U40" s="50" t="e">
        <f t="shared" si="15"/>
        <v>#REF!</v>
      </c>
      <c r="V40" s="50" t="e">
        <f t="shared" si="15"/>
        <v>#REF!</v>
      </c>
      <c r="W40" s="50" t="e">
        <f t="shared" si="15"/>
        <v>#REF!</v>
      </c>
      <c r="X40" s="50" t="e">
        <f t="shared" si="15"/>
        <v>#REF!</v>
      </c>
      <c r="Y40" s="50" t="e">
        <f t="shared" si="15"/>
        <v>#REF!</v>
      </c>
      <c r="Z40" s="50" t="e">
        <f t="shared" si="15"/>
        <v>#REF!</v>
      </c>
      <c r="AA40" s="50" t="e">
        <f t="shared" si="15"/>
        <v>#REF!</v>
      </c>
      <c r="AB40" s="50" t="e">
        <f t="shared" si="15"/>
        <v>#REF!</v>
      </c>
      <c r="AC40" s="50">
        <f t="shared" si="15"/>
        <v>0</v>
      </c>
      <c r="AD40" s="50">
        <f t="shared" si="15"/>
        <v>0</v>
      </c>
      <c r="AE40" s="50">
        <f t="shared" si="15"/>
        <v>0</v>
      </c>
      <c r="AF40" s="50">
        <f t="shared" si="15"/>
        <v>0</v>
      </c>
      <c r="AG40" s="50">
        <f t="shared" si="15"/>
        <v>0</v>
      </c>
      <c r="AH40" s="50">
        <f t="shared" si="15"/>
        <v>0</v>
      </c>
      <c r="AI40" s="50">
        <f t="shared" si="15"/>
        <v>0</v>
      </c>
      <c r="AJ40" s="50">
        <f t="shared" si="15"/>
        <v>0</v>
      </c>
      <c r="AK40" s="50">
        <f t="shared" si="15"/>
        <v>0</v>
      </c>
      <c r="AL40" s="50">
        <f t="shared" si="15"/>
        <v>0</v>
      </c>
      <c r="AM40" s="50">
        <f t="shared" si="15"/>
        <v>0</v>
      </c>
      <c r="AN40" s="50">
        <f t="shared" si="15"/>
        <v>0</v>
      </c>
      <c r="AO40" s="50">
        <f t="shared" si="15"/>
        <v>0</v>
      </c>
      <c r="AQ40" s="27" t="e">
        <f>SUM(H40:AA40)</f>
        <v>#REF!</v>
      </c>
      <c r="AR40" s="77" t="e">
        <f>AVERAGE(H40:AA40)</f>
        <v>#REF!</v>
      </c>
      <c r="AS40" s="22" t="s">
        <v>74</v>
      </c>
      <c r="AT40" s="50" t="e">
        <f>AR40/(#REF!*12)</f>
        <v>#REF!</v>
      </c>
      <c r="AU40" s="223" t="s">
        <v>69</v>
      </c>
    </row>
    <row r="41" spans="2:47" ht="5.0999999999999996" customHeight="1">
      <c r="B41" s="51"/>
      <c r="C41" s="73"/>
      <c r="D41" s="53"/>
      <c r="E41" s="22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Q41" s="27"/>
      <c r="AR41" s="77"/>
      <c r="AS41" s="22"/>
    </row>
    <row r="42" spans="2:47">
      <c r="B42" s="51"/>
      <c r="C42" s="91" t="s">
        <v>97</v>
      </c>
      <c r="D42" s="92">
        <f>SUM(D44:D45)</f>
        <v>0.24000000000000002</v>
      </c>
      <c r="E42" s="22"/>
      <c r="F42" s="50"/>
      <c r="G42" s="50"/>
      <c r="H42" s="48" t="e">
        <f>SUM(H44:H45)</f>
        <v>#REF!</v>
      </c>
      <c r="I42" s="48" t="e">
        <f>SUM(I44:I45)</f>
        <v>#REF!</v>
      </c>
      <c r="J42" s="48" t="e">
        <f t="shared" ref="J42:AB42" si="16">SUM(J44:J45)</f>
        <v>#REF!</v>
      </c>
      <c r="K42" s="48" t="e">
        <f t="shared" si="16"/>
        <v>#REF!</v>
      </c>
      <c r="L42" s="48" t="e">
        <f t="shared" si="16"/>
        <v>#REF!</v>
      </c>
      <c r="M42" s="48">
        <f t="shared" si="16"/>
        <v>0</v>
      </c>
      <c r="N42" s="48">
        <f t="shared" si="16"/>
        <v>0</v>
      </c>
      <c r="O42" s="48">
        <f t="shared" si="16"/>
        <v>0</v>
      </c>
      <c r="P42" s="48">
        <f t="shared" si="16"/>
        <v>0</v>
      </c>
      <c r="Q42" s="48">
        <f t="shared" si="16"/>
        <v>0</v>
      </c>
      <c r="R42" s="48">
        <f t="shared" si="16"/>
        <v>0</v>
      </c>
      <c r="S42" s="48">
        <f t="shared" si="16"/>
        <v>0</v>
      </c>
      <c r="T42" s="48">
        <f t="shared" si="16"/>
        <v>0</v>
      </c>
      <c r="U42" s="48">
        <f t="shared" si="16"/>
        <v>0</v>
      </c>
      <c r="V42" s="48">
        <f t="shared" si="16"/>
        <v>0</v>
      </c>
      <c r="W42" s="48">
        <f t="shared" si="16"/>
        <v>0</v>
      </c>
      <c r="X42" s="48">
        <f t="shared" si="16"/>
        <v>0</v>
      </c>
      <c r="Y42" s="48">
        <f t="shared" si="16"/>
        <v>0</v>
      </c>
      <c r="Z42" s="48">
        <f t="shared" si="16"/>
        <v>0</v>
      </c>
      <c r="AA42" s="48">
        <f t="shared" si="16"/>
        <v>0</v>
      </c>
      <c r="AB42" s="48">
        <f t="shared" si="16"/>
        <v>0</v>
      </c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Q42" s="27"/>
      <c r="AR42" s="77"/>
      <c r="AS42" s="22"/>
      <c r="AT42" s="224" t="e">
        <f>AT39+AT40</f>
        <v>#REF!</v>
      </c>
    </row>
    <row r="43" spans="2:47" ht="5.0999999999999996" customHeight="1">
      <c r="B43" s="51"/>
      <c r="C43" s="73"/>
      <c r="D43" s="53"/>
      <c r="E43" s="22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Q43" s="27"/>
      <c r="AR43" s="77"/>
      <c r="AS43" s="22"/>
    </row>
    <row r="44" spans="2:47">
      <c r="B44" s="51"/>
      <c r="C44" s="73" t="s">
        <v>73</v>
      </c>
      <c r="D44" s="53">
        <v>0.14000000000000001</v>
      </c>
      <c r="E44" s="22" t="s">
        <v>37</v>
      </c>
      <c r="F44" s="50">
        <v>0</v>
      </c>
      <c r="G44" s="50">
        <v>0</v>
      </c>
      <c r="H44" s="50" t="e">
        <f>H$30*$D$44</f>
        <v>#REF!</v>
      </c>
      <c r="I44" s="50" t="e">
        <f>I$30*$D$44</f>
        <v>#REF!</v>
      </c>
      <c r="J44" s="50" t="e">
        <f>J$30*$D$44</f>
        <v>#REF!</v>
      </c>
      <c r="K44" s="50" t="e">
        <f>K$30*$D$44</f>
        <v>#REF!</v>
      </c>
      <c r="L44" s="50" t="e">
        <f>L$30*$D$44</f>
        <v>#REF!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Q44" s="27" t="e">
        <f>SUM(I44:AB44)</f>
        <v>#REF!</v>
      </c>
      <c r="AR44" s="77" t="e">
        <f>AVERAGE(I44:AB44)</f>
        <v>#REF!</v>
      </c>
      <c r="AS44" s="22" t="s">
        <v>73</v>
      </c>
    </row>
    <row r="45" spans="2:47">
      <c r="B45" s="51"/>
      <c r="C45" s="73" t="s">
        <v>74</v>
      </c>
      <c r="D45" s="53">
        <v>0.1</v>
      </c>
      <c r="E45" s="22" t="s">
        <v>37</v>
      </c>
      <c r="F45" s="50">
        <v>0</v>
      </c>
      <c r="G45" s="50">
        <v>0</v>
      </c>
      <c r="H45" s="50" t="e">
        <f>H$30*$D$45</f>
        <v>#REF!</v>
      </c>
      <c r="I45" s="50" t="e">
        <f>I$30*$D$45</f>
        <v>#REF!</v>
      </c>
      <c r="J45" s="50" t="e">
        <f>J$30*$D$45</f>
        <v>#REF!</v>
      </c>
      <c r="K45" s="50" t="e">
        <f>K$30*$D$45</f>
        <v>#REF!</v>
      </c>
      <c r="L45" s="50" t="e">
        <f>L$30*$D$45</f>
        <v>#REF!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Q45" s="27" t="e">
        <f>SUM(I45:AB45)</f>
        <v>#REF!</v>
      </c>
      <c r="AR45" s="77" t="e">
        <f>AVERAGE(I45:AB45)</f>
        <v>#REF!</v>
      </c>
      <c r="AS45" s="22" t="s">
        <v>74</v>
      </c>
    </row>
    <row r="46" spans="2:47" ht="5.0999999999999996" customHeight="1">
      <c r="B46" s="51"/>
      <c r="C46" s="73"/>
      <c r="D46" s="53"/>
      <c r="E46" s="22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Q46" s="27"/>
      <c r="AR46" s="77"/>
      <c r="AS46" s="22"/>
    </row>
    <row r="47" spans="2:47">
      <c r="B47" s="51"/>
      <c r="C47" s="91" t="s">
        <v>96</v>
      </c>
      <c r="D47" s="92">
        <f>SUM(D49:D50)</f>
        <v>0.39</v>
      </c>
      <c r="E47" s="22"/>
      <c r="F47" s="50"/>
      <c r="G47" s="50"/>
      <c r="H47" s="48">
        <f>SUM(H49:H50)</f>
        <v>0</v>
      </c>
      <c r="I47" s="48">
        <f>SUM(I49:I50)</f>
        <v>0</v>
      </c>
      <c r="J47" s="48">
        <f t="shared" ref="J47:AB47" si="17">SUM(J49:J50)</f>
        <v>0</v>
      </c>
      <c r="K47" s="48">
        <f t="shared" si="17"/>
        <v>0</v>
      </c>
      <c r="L47" s="48">
        <f t="shared" si="17"/>
        <v>0</v>
      </c>
      <c r="M47" s="48" t="e">
        <f>SUM(M49:M50)</f>
        <v>#REF!</v>
      </c>
      <c r="N47" s="48" t="e">
        <f t="shared" si="17"/>
        <v>#REF!</v>
      </c>
      <c r="O47" s="48" t="e">
        <f t="shared" si="17"/>
        <v>#REF!</v>
      </c>
      <c r="P47" s="48" t="e">
        <f t="shared" si="17"/>
        <v>#REF!</v>
      </c>
      <c r="Q47" s="48" t="e">
        <f t="shared" si="17"/>
        <v>#REF!</v>
      </c>
      <c r="R47" s="48" t="e">
        <f t="shared" si="17"/>
        <v>#REF!</v>
      </c>
      <c r="S47" s="48" t="e">
        <f t="shared" si="17"/>
        <v>#REF!</v>
      </c>
      <c r="T47" s="48" t="e">
        <f t="shared" si="17"/>
        <v>#REF!</v>
      </c>
      <c r="U47" s="48" t="e">
        <f t="shared" si="17"/>
        <v>#REF!</v>
      </c>
      <c r="V47" s="48" t="e">
        <f t="shared" si="17"/>
        <v>#REF!</v>
      </c>
      <c r="W47" s="48" t="e">
        <f t="shared" si="17"/>
        <v>#REF!</v>
      </c>
      <c r="X47" s="48" t="e">
        <f t="shared" si="17"/>
        <v>#REF!</v>
      </c>
      <c r="Y47" s="48" t="e">
        <f t="shared" si="17"/>
        <v>#REF!</v>
      </c>
      <c r="Z47" s="48" t="e">
        <f t="shared" si="17"/>
        <v>#REF!</v>
      </c>
      <c r="AA47" s="48" t="e">
        <f t="shared" si="17"/>
        <v>#REF!</v>
      </c>
      <c r="AB47" s="48" t="e">
        <f t="shared" si="17"/>
        <v>#REF!</v>
      </c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Q47" s="27"/>
      <c r="AR47" s="77"/>
      <c r="AS47" s="22"/>
    </row>
    <row r="48" spans="2:47" ht="5.0999999999999996" customHeight="1">
      <c r="B48" s="51"/>
      <c r="C48" s="91"/>
      <c r="D48" s="53"/>
      <c r="E48" s="2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Q48" s="27"/>
      <c r="AR48" s="77"/>
      <c r="AS48" s="22"/>
    </row>
    <row r="49" spans="1:46">
      <c r="B49" s="51"/>
      <c r="C49" s="73" t="s">
        <v>73</v>
      </c>
      <c r="D49" s="53">
        <v>0.23</v>
      </c>
      <c r="E49" s="22"/>
      <c r="F49" s="50"/>
      <c r="G49" s="50"/>
      <c r="H49" s="50"/>
      <c r="I49" s="50"/>
      <c r="J49" s="50"/>
      <c r="K49" s="50"/>
      <c r="L49" s="50"/>
      <c r="M49" s="50" t="e">
        <f t="shared" ref="M49:AB49" si="18">M30*$D$49</f>
        <v>#REF!</v>
      </c>
      <c r="N49" s="50" t="e">
        <f t="shared" si="18"/>
        <v>#REF!</v>
      </c>
      <c r="O49" s="50" t="e">
        <f t="shared" si="18"/>
        <v>#REF!</v>
      </c>
      <c r="P49" s="50" t="e">
        <f t="shared" si="18"/>
        <v>#REF!</v>
      </c>
      <c r="Q49" s="50" t="e">
        <f t="shared" si="18"/>
        <v>#REF!</v>
      </c>
      <c r="R49" s="50" t="e">
        <f t="shared" si="18"/>
        <v>#REF!</v>
      </c>
      <c r="S49" s="50" t="e">
        <f t="shared" si="18"/>
        <v>#REF!</v>
      </c>
      <c r="T49" s="50" t="e">
        <f t="shared" si="18"/>
        <v>#REF!</v>
      </c>
      <c r="U49" s="50" t="e">
        <f t="shared" si="18"/>
        <v>#REF!</v>
      </c>
      <c r="V49" s="50" t="e">
        <f t="shared" si="18"/>
        <v>#REF!</v>
      </c>
      <c r="W49" s="50" t="e">
        <f t="shared" si="18"/>
        <v>#REF!</v>
      </c>
      <c r="X49" s="50" t="e">
        <f t="shared" si="18"/>
        <v>#REF!</v>
      </c>
      <c r="Y49" s="50" t="e">
        <f t="shared" si="18"/>
        <v>#REF!</v>
      </c>
      <c r="Z49" s="50" t="e">
        <f t="shared" si="18"/>
        <v>#REF!</v>
      </c>
      <c r="AA49" s="50" t="e">
        <f t="shared" si="18"/>
        <v>#REF!</v>
      </c>
      <c r="AB49" s="50" t="e">
        <f t="shared" si="18"/>
        <v>#REF!</v>
      </c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Q49" s="27"/>
      <c r="AR49" s="77"/>
      <c r="AS49" s="22"/>
    </row>
    <row r="50" spans="1:46">
      <c r="B50" s="51"/>
      <c r="C50" s="73" t="s">
        <v>74</v>
      </c>
      <c r="D50" s="53">
        <v>0.16</v>
      </c>
      <c r="E50" s="22"/>
      <c r="F50" s="50"/>
      <c r="G50" s="50"/>
      <c r="H50" s="50"/>
      <c r="I50" s="50"/>
      <c r="J50" s="50"/>
      <c r="K50" s="50"/>
      <c r="L50" s="50"/>
      <c r="M50" s="50" t="e">
        <f t="shared" ref="M50:AB50" si="19">M30*$D$50</f>
        <v>#REF!</v>
      </c>
      <c r="N50" s="50" t="e">
        <f t="shared" si="19"/>
        <v>#REF!</v>
      </c>
      <c r="O50" s="50" t="e">
        <f t="shared" si="19"/>
        <v>#REF!</v>
      </c>
      <c r="P50" s="50" t="e">
        <f t="shared" si="19"/>
        <v>#REF!</v>
      </c>
      <c r="Q50" s="50" t="e">
        <f t="shared" si="19"/>
        <v>#REF!</v>
      </c>
      <c r="R50" s="50" t="e">
        <f t="shared" si="19"/>
        <v>#REF!</v>
      </c>
      <c r="S50" s="50" t="e">
        <f t="shared" si="19"/>
        <v>#REF!</v>
      </c>
      <c r="T50" s="50" t="e">
        <f t="shared" si="19"/>
        <v>#REF!</v>
      </c>
      <c r="U50" s="50" t="e">
        <f t="shared" si="19"/>
        <v>#REF!</v>
      </c>
      <c r="V50" s="50" t="e">
        <f t="shared" si="19"/>
        <v>#REF!</v>
      </c>
      <c r="W50" s="50" t="e">
        <f t="shared" si="19"/>
        <v>#REF!</v>
      </c>
      <c r="X50" s="50" t="e">
        <f t="shared" si="19"/>
        <v>#REF!</v>
      </c>
      <c r="Y50" s="50" t="e">
        <f t="shared" si="19"/>
        <v>#REF!</v>
      </c>
      <c r="Z50" s="50" t="e">
        <f t="shared" si="19"/>
        <v>#REF!</v>
      </c>
      <c r="AA50" s="50" t="e">
        <f t="shared" si="19"/>
        <v>#REF!</v>
      </c>
      <c r="AB50" s="50" t="e">
        <f t="shared" si="19"/>
        <v>#REF!</v>
      </c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Q50" s="27"/>
      <c r="AR50" s="77"/>
      <c r="AS50" s="22"/>
    </row>
    <row r="51" spans="1:46" ht="5.0999999999999996" customHeight="1"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Q51" s="32"/>
      <c r="AR51" s="32"/>
    </row>
    <row r="52" spans="1:46" ht="5.0999999999999996" customHeight="1"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Q52" s="32"/>
      <c r="AR52" s="32"/>
    </row>
    <row r="53" spans="1:46" ht="5.0999999999999996" customHeight="1"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Q53" s="32"/>
      <c r="AR53" s="32"/>
    </row>
    <row r="54" spans="1:46">
      <c r="C54" s="21" t="s">
        <v>41</v>
      </c>
      <c r="D54" s="54">
        <v>0</v>
      </c>
      <c r="E54" s="21" t="s">
        <v>37</v>
      </c>
      <c r="F54" s="48">
        <v>0</v>
      </c>
      <c r="G54" s="48">
        <v>0</v>
      </c>
      <c r="H54" s="48" t="e">
        <f>H30*$D$54</f>
        <v>#REF!</v>
      </c>
      <c r="I54" s="48" t="e">
        <f>I30*$D$54</f>
        <v>#REF!</v>
      </c>
      <c r="J54" s="48" t="e">
        <f>J30*$D$54</f>
        <v>#REF!</v>
      </c>
      <c r="K54" s="48" t="e">
        <f t="shared" ref="K54:R54" si="20">K30*$D$54</f>
        <v>#REF!</v>
      </c>
      <c r="L54" s="48" t="e">
        <f t="shared" si="20"/>
        <v>#REF!</v>
      </c>
      <c r="M54" s="48" t="e">
        <f t="shared" si="20"/>
        <v>#REF!</v>
      </c>
      <c r="N54" s="48" t="e">
        <f t="shared" si="20"/>
        <v>#REF!</v>
      </c>
      <c r="O54" s="48" t="e">
        <f t="shared" si="20"/>
        <v>#REF!</v>
      </c>
      <c r="P54" s="48" t="e">
        <f t="shared" si="20"/>
        <v>#REF!</v>
      </c>
      <c r="Q54" s="48" t="e">
        <f t="shared" si="20"/>
        <v>#REF!</v>
      </c>
      <c r="R54" s="48" t="e">
        <f t="shared" si="20"/>
        <v>#REF!</v>
      </c>
      <c r="S54" s="48" t="e">
        <f>S30*$D$54</f>
        <v>#REF!</v>
      </c>
      <c r="T54" s="48" t="e">
        <f>T30*$D$54</f>
        <v>#REF!</v>
      </c>
      <c r="U54" s="48" t="e">
        <f t="shared" ref="U54:AB54" si="21">U30*$D$54</f>
        <v>#REF!</v>
      </c>
      <c r="V54" s="48" t="e">
        <f t="shared" si="21"/>
        <v>#REF!</v>
      </c>
      <c r="W54" s="48" t="e">
        <f t="shared" si="21"/>
        <v>#REF!</v>
      </c>
      <c r="X54" s="48" t="e">
        <f t="shared" si="21"/>
        <v>#REF!</v>
      </c>
      <c r="Y54" s="48" t="e">
        <f t="shared" si="21"/>
        <v>#REF!</v>
      </c>
      <c r="Z54" s="48" t="e">
        <f t="shared" si="21"/>
        <v>#REF!</v>
      </c>
      <c r="AA54" s="48" t="e">
        <f t="shared" si="21"/>
        <v>#REF!</v>
      </c>
      <c r="AB54" s="48" t="e">
        <f t="shared" si="21"/>
        <v>#REF!</v>
      </c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Q54" s="27" t="e">
        <f>SUM(H54:AA54)</f>
        <v>#REF!</v>
      </c>
      <c r="AR54" s="77" t="e">
        <f>AVERAGE(H54:AA54)</f>
        <v>#REF!</v>
      </c>
      <c r="AS54" s="222"/>
    </row>
    <row r="55" spans="1:46" ht="5.0999999999999996" customHeight="1">
      <c r="E55" s="2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Q55" s="32"/>
      <c r="AR55" s="32"/>
    </row>
    <row r="56" spans="1:46">
      <c r="B56" s="22">
        <v>56.25</v>
      </c>
      <c r="C56" s="21" t="s">
        <v>42</v>
      </c>
      <c r="D56" s="54" t="e">
        <f>SUM(H56:AA56)/SUM(I30:AA30)</f>
        <v>#REF!</v>
      </c>
      <c r="E56" s="21" t="s">
        <v>37</v>
      </c>
      <c r="F56" s="48">
        <v>0</v>
      </c>
      <c r="G56" s="48">
        <v>0</v>
      </c>
      <c r="H56" s="48" t="e">
        <f>H30-H38</f>
        <v>#REF!</v>
      </c>
      <c r="I56" s="48" t="e">
        <f>I30-I38</f>
        <v>#REF!</v>
      </c>
      <c r="J56" s="48" t="e">
        <f t="shared" ref="J56:AB56" si="22">J30-J38</f>
        <v>#REF!</v>
      </c>
      <c r="K56" s="48" t="e">
        <f t="shared" si="22"/>
        <v>#REF!</v>
      </c>
      <c r="L56" s="48" t="e">
        <f t="shared" si="22"/>
        <v>#REF!</v>
      </c>
      <c r="M56" s="48" t="e">
        <f>M30-M38</f>
        <v>#REF!</v>
      </c>
      <c r="N56" s="48" t="e">
        <f t="shared" si="22"/>
        <v>#REF!</v>
      </c>
      <c r="O56" s="48" t="e">
        <f t="shared" si="22"/>
        <v>#REF!</v>
      </c>
      <c r="P56" s="48" t="e">
        <f t="shared" si="22"/>
        <v>#REF!</v>
      </c>
      <c r="Q56" s="48" t="e">
        <f t="shared" si="22"/>
        <v>#REF!</v>
      </c>
      <c r="R56" s="48" t="e">
        <f t="shared" si="22"/>
        <v>#REF!</v>
      </c>
      <c r="S56" s="48" t="e">
        <f t="shared" si="22"/>
        <v>#REF!</v>
      </c>
      <c r="T56" s="48" t="e">
        <f t="shared" si="22"/>
        <v>#REF!</v>
      </c>
      <c r="U56" s="48" t="e">
        <f t="shared" si="22"/>
        <v>#REF!</v>
      </c>
      <c r="V56" s="48" t="e">
        <f t="shared" si="22"/>
        <v>#REF!</v>
      </c>
      <c r="W56" s="48" t="e">
        <f t="shared" si="22"/>
        <v>#REF!</v>
      </c>
      <c r="X56" s="48" t="e">
        <f t="shared" si="22"/>
        <v>#REF!</v>
      </c>
      <c r="Y56" s="48" t="e">
        <f t="shared" si="22"/>
        <v>#REF!</v>
      </c>
      <c r="Z56" s="48" t="e">
        <f t="shared" si="22"/>
        <v>#REF!</v>
      </c>
      <c r="AA56" s="48" t="e">
        <f t="shared" si="22"/>
        <v>#REF!</v>
      </c>
      <c r="AB56" s="48" t="e">
        <f t="shared" si="22"/>
        <v>#REF!</v>
      </c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Q56" s="27" t="e">
        <f>SUM(H56:AA56)</f>
        <v>#REF!</v>
      </c>
      <c r="AR56" s="77" t="e">
        <f>AVERAGE(H56:AA56)</f>
        <v>#REF!</v>
      </c>
      <c r="AS56" s="225" t="e">
        <f>AR56/(#REF!*12)</f>
        <v>#REF!</v>
      </c>
      <c r="AT56" s="223" t="s">
        <v>69</v>
      </c>
    </row>
    <row r="57" spans="1:46" ht="5.0999999999999996" customHeight="1">
      <c r="E57" s="2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Q57" s="32"/>
      <c r="AR57" s="32"/>
    </row>
    <row r="58" spans="1:46">
      <c r="C58" s="21" t="s">
        <v>43</v>
      </c>
      <c r="D58" s="54">
        <v>6.0000000000000001E-3</v>
      </c>
      <c r="E58" s="21" t="s">
        <v>37</v>
      </c>
      <c r="F58" s="48">
        <v>0</v>
      </c>
      <c r="G58" s="48">
        <v>0</v>
      </c>
      <c r="H58" s="48" t="e">
        <f>H30*$D$58</f>
        <v>#REF!</v>
      </c>
      <c r="I58" s="48" t="e">
        <f>I30*$D$58</f>
        <v>#REF!</v>
      </c>
      <c r="J58" s="48" t="e">
        <f t="shared" ref="J58:AA58" si="23">J30*$D$58</f>
        <v>#REF!</v>
      </c>
      <c r="K58" s="48" t="e">
        <f t="shared" si="23"/>
        <v>#REF!</v>
      </c>
      <c r="L58" s="48" t="e">
        <f t="shared" si="23"/>
        <v>#REF!</v>
      </c>
      <c r="M58" s="48" t="e">
        <f t="shared" si="23"/>
        <v>#REF!</v>
      </c>
      <c r="N58" s="48" t="e">
        <f t="shared" si="23"/>
        <v>#REF!</v>
      </c>
      <c r="O58" s="48" t="e">
        <f t="shared" si="23"/>
        <v>#REF!</v>
      </c>
      <c r="P58" s="48" t="e">
        <f t="shared" si="23"/>
        <v>#REF!</v>
      </c>
      <c r="Q58" s="48" t="e">
        <f t="shared" si="23"/>
        <v>#REF!</v>
      </c>
      <c r="R58" s="48" t="e">
        <f t="shared" si="23"/>
        <v>#REF!</v>
      </c>
      <c r="S58" s="48" t="e">
        <f t="shared" si="23"/>
        <v>#REF!</v>
      </c>
      <c r="T58" s="48" t="e">
        <f t="shared" si="23"/>
        <v>#REF!</v>
      </c>
      <c r="U58" s="48" t="e">
        <f t="shared" si="23"/>
        <v>#REF!</v>
      </c>
      <c r="V58" s="48" t="e">
        <f t="shared" si="23"/>
        <v>#REF!</v>
      </c>
      <c r="W58" s="48" t="e">
        <f t="shared" si="23"/>
        <v>#REF!</v>
      </c>
      <c r="X58" s="48" t="e">
        <f t="shared" si="23"/>
        <v>#REF!</v>
      </c>
      <c r="Y58" s="48" t="e">
        <f t="shared" si="23"/>
        <v>#REF!</v>
      </c>
      <c r="Z58" s="48" t="e">
        <f t="shared" si="23"/>
        <v>#REF!</v>
      </c>
      <c r="AA58" s="48" t="e">
        <f t="shared" si="23"/>
        <v>#REF!</v>
      </c>
      <c r="AB58" s="48" t="e">
        <f>AB30*$D$58</f>
        <v>#REF!</v>
      </c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Q58" s="27" t="e">
        <f>SUM(H58:AA58)</f>
        <v>#REF!</v>
      </c>
      <c r="AR58" s="77" t="e">
        <f>AVERAGE(H58:AA58)</f>
        <v>#REF!</v>
      </c>
    </row>
    <row r="59" spans="1:46" ht="5.0999999999999996" customHeight="1"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Q59" s="32"/>
      <c r="AR59" s="32"/>
    </row>
    <row r="60" spans="1:46" hidden="1">
      <c r="C60" s="21" t="s">
        <v>44</v>
      </c>
      <c r="D60" s="55"/>
      <c r="E60" s="21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Q60" s="48"/>
      <c r="AR60" s="49">
        <v>0</v>
      </c>
    </row>
    <row r="61" spans="1:46" hidden="1">
      <c r="A61" s="21"/>
      <c r="C61" s="24" t="s">
        <v>45</v>
      </c>
      <c r="D61" s="55"/>
      <c r="E61" s="21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Q61" s="48"/>
      <c r="AR61" s="49"/>
    </row>
    <row r="62" spans="1:46" hidden="1">
      <c r="A62" s="56" t="s">
        <v>46</v>
      </c>
      <c r="B62" s="57"/>
      <c r="C62" s="58" t="s">
        <v>47</v>
      </c>
      <c r="D62" s="59">
        <v>11520</v>
      </c>
      <c r="E62" s="56" t="s">
        <v>7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Q62" s="48"/>
      <c r="AR62" s="49"/>
    </row>
    <row r="63" spans="1:46" hidden="1">
      <c r="A63" s="21"/>
      <c r="C63" s="24" t="s">
        <v>48</v>
      </c>
      <c r="D63" s="60"/>
      <c r="E63" s="21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Q63" s="50"/>
      <c r="AR63" s="49"/>
    </row>
    <row r="64" spans="1:46" hidden="1">
      <c r="A64" s="21"/>
      <c r="C64" s="24" t="s">
        <v>49</v>
      </c>
      <c r="D64" s="49"/>
      <c r="E64" s="21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Q64" s="50"/>
      <c r="AR64" s="49"/>
    </row>
    <row r="65" spans="1:45" hidden="1">
      <c r="A65" s="21"/>
      <c r="C65" s="24" t="s">
        <v>50</v>
      </c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Q65" s="45"/>
      <c r="AR65" s="45" t="e">
        <v>#DIV/0!</v>
      </c>
      <c r="AS65" s="46" t="e">
        <v>#DIV/0!</v>
      </c>
    </row>
    <row r="66" spans="1:45" hidden="1">
      <c r="A66" s="21" t="s">
        <v>51</v>
      </c>
      <c r="C66" s="24" t="s">
        <v>52</v>
      </c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Q66" s="45"/>
      <c r="AR66" s="45">
        <v>0</v>
      </c>
    </row>
    <row r="67" spans="1:45" hidden="1"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Q67" s="32"/>
      <c r="AR67" s="32"/>
    </row>
    <row r="68" spans="1:45" hidden="1">
      <c r="A68" s="21"/>
      <c r="C68" s="24" t="s">
        <v>53</v>
      </c>
      <c r="D68" s="55"/>
      <c r="E68" s="21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Q68" s="50"/>
      <c r="AR68" s="49"/>
    </row>
    <row r="69" spans="1:45" hidden="1">
      <c r="A69" s="21" t="s">
        <v>54</v>
      </c>
      <c r="C69" s="24" t="s">
        <v>55</v>
      </c>
      <c r="D69" s="49"/>
      <c r="E69" s="21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Q69" s="50"/>
      <c r="AR69" s="49"/>
    </row>
    <row r="70" spans="1:45" hidden="1"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Q70" s="32"/>
      <c r="AR70" s="32"/>
    </row>
    <row r="71" spans="1:45" hidden="1">
      <c r="A71" s="21"/>
      <c r="C71" s="24" t="s">
        <v>56</v>
      </c>
      <c r="D71" s="55"/>
      <c r="E71" s="21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Q71" s="50"/>
      <c r="AR71" s="49"/>
    </row>
    <row r="72" spans="1:45" hidden="1">
      <c r="A72" s="21" t="s">
        <v>57</v>
      </c>
      <c r="C72" s="24" t="s">
        <v>58</v>
      </c>
      <c r="D72" s="49"/>
      <c r="E72" s="21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Q72" s="50"/>
      <c r="AR72" s="49"/>
    </row>
    <row r="73" spans="1:45" hidden="1"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Q73" s="32"/>
      <c r="AR73" s="32"/>
    </row>
    <row r="74" spans="1:45" hidden="1">
      <c r="B74" s="51"/>
      <c r="C74" s="52" t="s">
        <v>11</v>
      </c>
      <c r="D74" s="55"/>
      <c r="E74" s="21" t="s">
        <v>37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Q74" s="48"/>
      <c r="AR74" s="49">
        <v>0</v>
      </c>
      <c r="AS74" s="61"/>
    </row>
    <row r="75" spans="1:45" hidden="1">
      <c r="B75" s="51"/>
      <c r="C75" s="24" t="s">
        <v>59</v>
      </c>
      <c r="D75" s="53"/>
      <c r="E75" s="22" t="s">
        <v>37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Q75" s="50"/>
      <c r="AR75" s="45">
        <v>0</v>
      </c>
    </row>
    <row r="76" spans="1:45" hidden="1">
      <c r="B76" s="51"/>
      <c r="C76" s="24" t="s">
        <v>60</v>
      </c>
      <c r="D76" s="53">
        <v>0.8</v>
      </c>
      <c r="E76" s="22" t="s">
        <v>37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0</v>
      </c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Q76" s="50"/>
      <c r="AR76" s="45">
        <v>0</v>
      </c>
    </row>
    <row r="77" spans="1:45" hidden="1">
      <c r="B77" s="51"/>
      <c r="C77" s="24" t="s">
        <v>60</v>
      </c>
      <c r="D77" s="53">
        <v>0.8</v>
      </c>
      <c r="E77" s="22" t="s">
        <v>37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Q77" s="50"/>
      <c r="AR77" s="45"/>
    </row>
    <row r="78" spans="1:45" hidden="1">
      <c r="B78" s="51"/>
      <c r="C78" s="24" t="s">
        <v>61</v>
      </c>
      <c r="D78" s="53">
        <v>0.7</v>
      </c>
      <c r="E78" s="22" t="s">
        <v>37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Q78" s="50"/>
      <c r="AR78" s="45">
        <v>0</v>
      </c>
    </row>
    <row r="79" spans="1:45" hidden="1">
      <c r="B79" s="51"/>
      <c r="C79" s="24" t="s">
        <v>62</v>
      </c>
      <c r="D79" s="53"/>
      <c r="E79" s="22" t="s">
        <v>37</v>
      </c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Q79" s="50"/>
      <c r="AR79" s="45">
        <v>0</v>
      </c>
    </row>
    <row r="80" spans="1:45" hidden="1">
      <c r="B80" s="51"/>
      <c r="C80" s="24" t="s">
        <v>63</v>
      </c>
      <c r="D80" s="53">
        <v>0.5</v>
      </c>
      <c r="E80" s="22" t="s">
        <v>37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Q80" s="50"/>
      <c r="AR80" s="45">
        <v>0</v>
      </c>
    </row>
    <row r="81" spans="2:45" hidden="1">
      <c r="B81" s="51"/>
      <c r="C81" s="24" t="s">
        <v>64</v>
      </c>
      <c r="D81" s="53"/>
      <c r="E81" s="22" t="s">
        <v>37</v>
      </c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Q81" s="50"/>
      <c r="AR81" s="45">
        <v>0</v>
      </c>
    </row>
    <row r="82" spans="2:45" hidden="1"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Q82" s="32"/>
      <c r="AR82" s="32"/>
    </row>
    <row r="83" spans="2:45" hidden="1"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Q83" s="32"/>
      <c r="AR83" s="32"/>
    </row>
    <row r="84" spans="2:45">
      <c r="B84" s="39"/>
      <c r="C84" s="34" t="s">
        <v>65</v>
      </c>
      <c r="D84" s="38"/>
      <c r="E84" s="36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Q84" s="37"/>
      <c r="AR84" s="37"/>
      <c r="AS84" s="39"/>
    </row>
    <row r="85" spans="2:45" ht="5.0999999999999996" customHeight="1"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Q85" s="32"/>
      <c r="AR85" s="32"/>
    </row>
    <row r="86" spans="2:45">
      <c r="B86" s="28" t="s">
        <v>66</v>
      </c>
      <c r="C86" s="21" t="s">
        <v>67</v>
      </c>
      <c r="E86" s="21" t="s">
        <v>7</v>
      </c>
      <c r="F86" s="45">
        <f>F33</f>
        <v>0</v>
      </c>
      <c r="G86" s="45">
        <f t="shared" ref="G86:AB86" si="24">G33</f>
        <v>0</v>
      </c>
      <c r="H86" s="45" t="e">
        <f t="shared" si="24"/>
        <v>#REF!</v>
      </c>
      <c r="I86" s="45" t="e">
        <f>I33</f>
        <v>#REF!</v>
      </c>
      <c r="J86" s="45" t="e">
        <f t="shared" si="24"/>
        <v>#REF!</v>
      </c>
      <c r="K86" s="45" t="e">
        <f t="shared" si="24"/>
        <v>#REF!</v>
      </c>
      <c r="L86" s="45" t="e">
        <f t="shared" si="24"/>
        <v>#REF!</v>
      </c>
      <c r="M86" s="45" t="e">
        <f t="shared" si="24"/>
        <v>#REF!</v>
      </c>
      <c r="N86" s="45" t="e">
        <f t="shared" si="24"/>
        <v>#REF!</v>
      </c>
      <c r="O86" s="45" t="e">
        <f t="shared" si="24"/>
        <v>#REF!</v>
      </c>
      <c r="P86" s="45" t="e">
        <f t="shared" si="24"/>
        <v>#REF!</v>
      </c>
      <c r="Q86" s="45" t="e">
        <f t="shared" si="24"/>
        <v>#REF!</v>
      </c>
      <c r="R86" s="45" t="e">
        <f t="shared" si="24"/>
        <v>#REF!</v>
      </c>
      <c r="S86" s="45" t="e">
        <f t="shared" si="24"/>
        <v>#REF!</v>
      </c>
      <c r="T86" s="45" t="e">
        <f t="shared" si="24"/>
        <v>#REF!</v>
      </c>
      <c r="U86" s="45" t="e">
        <f t="shared" si="24"/>
        <v>#REF!</v>
      </c>
      <c r="V86" s="45" t="e">
        <f t="shared" si="24"/>
        <v>#REF!</v>
      </c>
      <c r="W86" s="45" t="e">
        <f t="shared" si="24"/>
        <v>#REF!</v>
      </c>
      <c r="X86" s="45" t="e">
        <f t="shared" si="24"/>
        <v>#REF!</v>
      </c>
      <c r="Y86" s="45" t="e">
        <f t="shared" si="24"/>
        <v>#REF!</v>
      </c>
      <c r="Z86" s="45" t="e">
        <f t="shared" si="24"/>
        <v>#REF!</v>
      </c>
      <c r="AA86" s="45" t="e">
        <f t="shared" si="24"/>
        <v>#REF!</v>
      </c>
      <c r="AB86" s="45" t="e">
        <f t="shared" si="24"/>
        <v>#REF!</v>
      </c>
      <c r="AC86" s="45">
        <v>0</v>
      </c>
      <c r="AD86" s="45">
        <v>0</v>
      </c>
      <c r="AE86" s="45">
        <v>0</v>
      </c>
      <c r="AF86" s="45">
        <v>0</v>
      </c>
      <c r="AG86" s="45">
        <v>0</v>
      </c>
      <c r="AH86" s="45">
        <v>0</v>
      </c>
      <c r="AI86" s="45">
        <v>0</v>
      </c>
      <c r="AJ86" s="45">
        <v>0</v>
      </c>
      <c r="AK86" s="45">
        <v>0</v>
      </c>
      <c r="AL86" s="45">
        <v>0</v>
      </c>
      <c r="AM86" s="45">
        <v>0</v>
      </c>
      <c r="AN86" s="45">
        <v>0</v>
      </c>
      <c r="AO86" s="45">
        <v>0</v>
      </c>
      <c r="AQ86" s="27" t="e">
        <f>SUM(H86:AA86)</f>
        <v>#REF!</v>
      </c>
      <c r="AR86" s="77" t="e">
        <f>AVERAGE(H86:AA86)</f>
        <v>#REF!</v>
      </c>
      <c r="AS86" s="62" t="e">
        <f>AQ86/AQ90</f>
        <v>#REF!</v>
      </c>
    </row>
    <row r="87" spans="2:45" ht="5.0999999999999996" customHeight="1">
      <c r="B87" s="28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Q87" s="45"/>
      <c r="AR87" s="32"/>
      <c r="AS87" s="6"/>
    </row>
    <row r="88" spans="2:45">
      <c r="B88" s="28" t="s">
        <v>66</v>
      </c>
      <c r="C88" s="21" t="s">
        <v>99</v>
      </c>
      <c r="E88" s="21" t="s">
        <v>7</v>
      </c>
      <c r="F88" s="45">
        <f>F56</f>
        <v>0</v>
      </c>
      <c r="G88" s="45">
        <f t="shared" ref="G88:AB88" si="25">G56</f>
        <v>0</v>
      </c>
      <c r="H88" s="45" t="e">
        <f>H56</f>
        <v>#REF!</v>
      </c>
      <c r="I88" s="45" t="e">
        <f>I56</f>
        <v>#REF!</v>
      </c>
      <c r="J88" s="45" t="e">
        <f t="shared" si="25"/>
        <v>#REF!</v>
      </c>
      <c r="K88" s="45" t="e">
        <f t="shared" si="25"/>
        <v>#REF!</v>
      </c>
      <c r="L88" s="45" t="e">
        <f>L56</f>
        <v>#REF!</v>
      </c>
      <c r="M88" s="45" t="e">
        <f t="shared" si="25"/>
        <v>#REF!</v>
      </c>
      <c r="N88" s="45" t="e">
        <f t="shared" si="25"/>
        <v>#REF!</v>
      </c>
      <c r="O88" s="45" t="e">
        <f t="shared" si="25"/>
        <v>#REF!</v>
      </c>
      <c r="P88" s="45" t="e">
        <f t="shared" si="25"/>
        <v>#REF!</v>
      </c>
      <c r="Q88" s="45" t="e">
        <f t="shared" si="25"/>
        <v>#REF!</v>
      </c>
      <c r="R88" s="45" t="e">
        <f t="shared" si="25"/>
        <v>#REF!</v>
      </c>
      <c r="S88" s="45" t="e">
        <f t="shared" si="25"/>
        <v>#REF!</v>
      </c>
      <c r="T88" s="45" t="e">
        <f t="shared" si="25"/>
        <v>#REF!</v>
      </c>
      <c r="U88" s="45" t="e">
        <f t="shared" si="25"/>
        <v>#REF!</v>
      </c>
      <c r="V88" s="45" t="e">
        <f t="shared" si="25"/>
        <v>#REF!</v>
      </c>
      <c r="W88" s="45" t="e">
        <f>W56</f>
        <v>#REF!</v>
      </c>
      <c r="X88" s="45" t="e">
        <f t="shared" si="25"/>
        <v>#REF!</v>
      </c>
      <c r="Y88" s="45" t="e">
        <f t="shared" si="25"/>
        <v>#REF!</v>
      </c>
      <c r="Z88" s="45" t="e">
        <f t="shared" si="25"/>
        <v>#REF!</v>
      </c>
      <c r="AA88" s="45" t="e">
        <f t="shared" si="25"/>
        <v>#REF!</v>
      </c>
      <c r="AB88" s="45" t="e">
        <f t="shared" si="25"/>
        <v>#REF!</v>
      </c>
      <c r="AC88" s="45">
        <v>0</v>
      </c>
      <c r="AD88" s="45">
        <v>0</v>
      </c>
      <c r="AE88" s="45">
        <v>0</v>
      </c>
      <c r="AF88" s="45">
        <v>0</v>
      </c>
      <c r="AG88" s="45">
        <v>0</v>
      </c>
      <c r="AH88" s="45">
        <v>0</v>
      </c>
      <c r="AI88" s="45">
        <v>0</v>
      </c>
      <c r="AJ88" s="45">
        <v>0</v>
      </c>
      <c r="AK88" s="45">
        <v>0</v>
      </c>
      <c r="AL88" s="45">
        <v>0</v>
      </c>
      <c r="AM88" s="45">
        <v>0</v>
      </c>
      <c r="AN88" s="45">
        <v>0</v>
      </c>
      <c r="AO88" s="45">
        <v>0</v>
      </c>
      <c r="AQ88" s="27" t="e">
        <f>SUM(H88:AA88)</f>
        <v>#REF!</v>
      </c>
      <c r="AR88" s="77" t="e">
        <f>AVERAGE(H88:AA88)</f>
        <v>#REF!</v>
      </c>
      <c r="AS88" s="62" t="e">
        <f>AQ88/AQ90</f>
        <v>#REF!</v>
      </c>
    </row>
    <row r="89" spans="2:45" ht="5.0999999999999996" customHeight="1">
      <c r="B89" s="28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Q89" s="45"/>
      <c r="AR89" s="32"/>
    </row>
    <row r="90" spans="2:45" ht="15" customHeight="1">
      <c r="B90" s="28" t="s">
        <v>66</v>
      </c>
      <c r="C90" s="21" t="s">
        <v>101</v>
      </c>
      <c r="E90" s="21" t="s">
        <v>7</v>
      </c>
      <c r="F90" s="49">
        <f>SUM(F86:F89)</f>
        <v>0</v>
      </c>
      <c r="G90" s="49">
        <f t="shared" ref="G90:AO90" si="26">SUM(G86:G89)</f>
        <v>0</v>
      </c>
      <c r="H90" s="49" t="e">
        <f>SUM(H86:H89)</f>
        <v>#REF!</v>
      </c>
      <c r="I90" s="49" t="e">
        <f>SUM(I86:I89)</f>
        <v>#REF!</v>
      </c>
      <c r="J90" s="49" t="e">
        <f t="shared" si="26"/>
        <v>#REF!</v>
      </c>
      <c r="K90" s="49" t="e">
        <f t="shared" si="26"/>
        <v>#REF!</v>
      </c>
      <c r="L90" s="49" t="e">
        <f t="shared" si="26"/>
        <v>#REF!</v>
      </c>
      <c r="M90" s="49" t="e">
        <f t="shared" si="26"/>
        <v>#REF!</v>
      </c>
      <c r="N90" s="49" t="e">
        <f t="shared" si="26"/>
        <v>#REF!</v>
      </c>
      <c r="O90" s="49" t="e">
        <f t="shared" si="26"/>
        <v>#REF!</v>
      </c>
      <c r="P90" s="49" t="e">
        <f t="shared" si="26"/>
        <v>#REF!</v>
      </c>
      <c r="Q90" s="49" t="e">
        <f t="shared" si="26"/>
        <v>#REF!</v>
      </c>
      <c r="R90" s="49" t="e">
        <f t="shared" si="26"/>
        <v>#REF!</v>
      </c>
      <c r="S90" s="49" t="e">
        <f t="shared" si="26"/>
        <v>#REF!</v>
      </c>
      <c r="T90" s="49" t="e">
        <f t="shared" si="26"/>
        <v>#REF!</v>
      </c>
      <c r="U90" s="49" t="e">
        <f t="shared" si="26"/>
        <v>#REF!</v>
      </c>
      <c r="V90" s="49" t="e">
        <f t="shared" si="26"/>
        <v>#REF!</v>
      </c>
      <c r="W90" s="49" t="e">
        <f t="shared" si="26"/>
        <v>#REF!</v>
      </c>
      <c r="X90" s="49" t="e">
        <f t="shared" si="26"/>
        <v>#REF!</v>
      </c>
      <c r="Y90" s="49" t="e">
        <f t="shared" si="26"/>
        <v>#REF!</v>
      </c>
      <c r="Z90" s="49" t="e">
        <f t="shared" si="26"/>
        <v>#REF!</v>
      </c>
      <c r="AA90" s="49" t="e">
        <f t="shared" si="26"/>
        <v>#REF!</v>
      </c>
      <c r="AB90" s="49" t="e">
        <f t="shared" si="26"/>
        <v>#REF!</v>
      </c>
      <c r="AC90" s="49">
        <f t="shared" si="26"/>
        <v>0</v>
      </c>
      <c r="AD90" s="49">
        <f t="shared" si="26"/>
        <v>0</v>
      </c>
      <c r="AE90" s="49">
        <f t="shared" si="26"/>
        <v>0</v>
      </c>
      <c r="AF90" s="49">
        <f t="shared" si="26"/>
        <v>0</v>
      </c>
      <c r="AG90" s="49">
        <f t="shared" si="26"/>
        <v>0</v>
      </c>
      <c r="AH90" s="49">
        <f t="shared" si="26"/>
        <v>0</v>
      </c>
      <c r="AI90" s="49">
        <f t="shared" si="26"/>
        <v>0</v>
      </c>
      <c r="AJ90" s="49">
        <f t="shared" si="26"/>
        <v>0</v>
      </c>
      <c r="AK90" s="49">
        <f t="shared" si="26"/>
        <v>0</v>
      </c>
      <c r="AL90" s="49">
        <f t="shared" si="26"/>
        <v>0</v>
      </c>
      <c r="AM90" s="49">
        <f t="shared" si="26"/>
        <v>0</v>
      </c>
      <c r="AN90" s="49">
        <f t="shared" si="26"/>
        <v>0</v>
      </c>
      <c r="AO90" s="49">
        <f t="shared" si="26"/>
        <v>0</v>
      </c>
      <c r="AQ90" s="27" t="e">
        <f>SUM(H90:AA90)</f>
        <v>#REF!</v>
      </c>
      <c r="AR90" s="77" t="e">
        <f>AVERAGE(H90:AA90)</f>
        <v>#REF!</v>
      </c>
    </row>
    <row r="91" spans="2:45" ht="15" customHeight="1">
      <c r="C91" s="63"/>
      <c r="E91" s="21" t="s">
        <v>69</v>
      </c>
      <c r="F91" s="49" t="e">
        <f>F90/12/#REF!</f>
        <v>#REF!</v>
      </c>
      <c r="G91" s="49" t="e">
        <f>G90/12/#REF!</f>
        <v>#REF!</v>
      </c>
      <c r="H91" s="49" t="e">
        <f>H90/12/#REF!</f>
        <v>#REF!</v>
      </c>
      <c r="I91" s="49" t="e">
        <f>I90/12/#REF!</f>
        <v>#REF!</v>
      </c>
      <c r="J91" s="49" t="e">
        <f>J90/12/#REF!</f>
        <v>#REF!</v>
      </c>
      <c r="K91" s="49" t="e">
        <f>K90/12/#REF!</f>
        <v>#REF!</v>
      </c>
      <c r="L91" s="49" t="e">
        <f>L90/12/#REF!</f>
        <v>#REF!</v>
      </c>
      <c r="M91" s="49" t="e">
        <f>M90/12/#REF!</f>
        <v>#REF!</v>
      </c>
      <c r="N91" s="49" t="e">
        <f>N90/12/#REF!</f>
        <v>#REF!</v>
      </c>
      <c r="O91" s="49" t="e">
        <f>O90/12/#REF!</f>
        <v>#REF!</v>
      </c>
      <c r="P91" s="49" t="e">
        <f>P90/12/#REF!</f>
        <v>#REF!</v>
      </c>
      <c r="Q91" s="49" t="e">
        <f>Q90/12/#REF!</f>
        <v>#REF!</v>
      </c>
      <c r="R91" s="49" t="e">
        <f>R90/12/#REF!</f>
        <v>#REF!</v>
      </c>
      <c r="S91" s="49" t="e">
        <f>S90/12/#REF!</f>
        <v>#REF!</v>
      </c>
      <c r="T91" s="49" t="e">
        <f>T90/12/#REF!</f>
        <v>#REF!</v>
      </c>
      <c r="U91" s="49" t="e">
        <f>U90/12/#REF!</f>
        <v>#REF!</v>
      </c>
      <c r="V91" s="49" t="e">
        <f>V90/12/#REF!</f>
        <v>#REF!</v>
      </c>
      <c r="W91" s="49" t="e">
        <f>W90/12/#REF!</f>
        <v>#REF!</v>
      </c>
      <c r="X91" s="49" t="e">
        <f>X90/12/#REF!</f>
        <v>#REF!</v>
      </c>
      <c r="Y91" s="49" t="e">
        <f>Y90/12/#REF!</f>
        <v>#REF!</v>
      </c>
      <c r="Z91" s="49" t="e">
        <f>Z90/12/#REF!</f>
        <v>#REF!</v>
      </c>
      <c r="AA91" s="49" t="e">
        <f>AA90/12/#REF!</f>
        <v>#REF!</v>
      </c>
      <c r="AB91" s="49" t="e">
        <f>AB90/12/#REF!</f>
        <v>#REF!</v>
      </c>
      <c r="AC91" s="49">
        <v>0</v>
      </c>
      <c r="AD91" s="49">
        <v>0</v>
      </c>
      <c r="AE91" s="49">
        <v>0</v>
      </c>
      <c r="AF91" s="49">
        <v>0</v>
      </c>
      <c r="AG91" s="49">
        <v>0</v>
      </c>
      <c r="AH91" s="49">
        <v>0</v>
      </c>
      <c r="AI91" s="49">
        <v>0</v>
      </c>
      <c r="AJ91" s="49">
        <v>0</v>
      </c>
      <c r="AK91" s="49">
        <v>0</v>
      </c>
      <c r="AL91" s="49">
        <v>0</v>
      </c>
      <c r="AM91" s="49">
        <v>0</v>
      </c>
      <c r="AN91" s="49">
        <v>0</v>
      </c>
      <c r="AO91" s="49">
        <v>0</v>
      </c>
      <c r="AQ91" s="27" t="e">
        <f>SUM(H91:AA91)</f>
        <v>#REF!</v>
      </c>
      <c r="AR91" s="77" t="e">
        <f>AVERAGE(H91:AA91)</f>
        <v>#REF!</v>
      </c>
    </row>
    <row r="92" spans="2:45" ht="5.0999999999999996" customHeight="1"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Q92" s="32"/>
      <c r="AR92" s="32"/>
    </row>
    <row r="93" spans="2:45">
      <c r="B93" s="64"/>
      <c r="C93" s="65" t="s">
        <v>70</v>
      </c>
      <c r="D93" s="66"/>
      <c r="E93" s="65"/>
      <c r="F93" s="67" t="e">
        <f t="shared" ref="F93:AB93" si="27">IF(F6=0,0,+F90/F6)</f>
        <v>#REF!</v>
      </c>
      <c r="G93" s="67" t="e">
        <f t="shared" si="27"/>
        <v>#REF!</v>
      </c>
      <c r="H93" s="67" t="e">
        <f t="shared" si="27"/>
        <v>#REF!</v>
      </c>
      <c r="I93" s="67" t="e">
        <f t="shared" si="27"/>
        <v>#REF!</v>
      </c>
      <c r="J93" s="67" t="e">
        <f t="shared" si="27"/>
        <v>#REF!</v>
      </c>
      <c r="K93" s="67" t="e">
        <f t="shared" si="27"/>
        <v>#REF!</v>
      </c>
      <c r="L93" s="67" t="e">
        <f t="shared" si="27"/>
        <v>#REF!</v>
      </c>
      <c r="M93" s="67" t="e">
        <f t="shared" si="27"/>
        <v>#REF!</v>
      </c>
      <c r="N93" s="67" t="e">
        <f t="shared" si="27"/>
        <v>#REF!</v>
      </c>
      <c r="O93" s="67" t="e">
        <f t="shared" si="27"/>
        <v>#REF!</v>
      </c>
      <c r="P93" s="67" t="e">
        <f t="shared" si="27"/>
        <v>#REF!</v>
      </c>
      <c r="Q93" s="67" t="e">
        <f t="shared" si="27"/>
        <v>#REF!</v>
      </c>
      <c r="R93" s="67" t="e">
        <f t="shared" si="27"/>
        <v>#REF!</v>
      </c>
      <c r="S93" s="67" t="e">
        <f t="shared" si="27"/>
        <v>#REF!</v>
      </c>
      <c r="T93" s="67" t="e">
        <f t="shared" si="27"/>
        <v>#REF!</v>
      </c>
      <c r="U93" s="67" t="e">
        <f t="shared" si="27"/>
        <v>#REF!</v>
      </c>
      <c r="V93" s="67" t="e">
        <f t="shared" si="27"/>
        <v>#REF!</v>
      </c>
      <c r="W93" s="67" t="e">
        <f t="shared" si="27"/>
        <v>#REF!</v>
      </c>
      <c r="X93" s="67" t="e">
        <f t="shared" si="27"/>
        <v>#REF!</v>
      </c>
      <c r="Y93" s="67" t="e">
        <f t="shared" si="27"/>
        <v>#REF!</v>
      </c>
      <c r="Z93" s="67" t="e">
        <f t="shared" si="27"/>
        <v>#REF!</v>
      </c>
      <c r="AA93" s="67" t="e">
        <f t="shared" si="27"/>
        <v>#REF!</v>
      </c>
      <c r="AB93" s="67" t="e">
        <f t="shared" si="27"/>
        <v>#REF!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Q93" s="67"/>
      <c r="AR93" s="68" t="e">
        <f>+AQ90/AQ6</f>
        <v>#REF!</v>
      </c>
      <c r="AS93" s="64"/>
    </row>
  </sheetData>
  <mergeCells count="2">
    <mergeCell ref="AQ1:AQ2"/>
    <mergeCell ref="D11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topLeftCell="A13" workbookViewId="0">
      <selection activeCell="A33" sqref="A33"/>
    </sheetView>
  </sheetViews>
  <sheetFormatPr defaultColWidth="8.85546875" defaultRowHeight="15"/>
  <cols>
    <col min="1" max="1" width="2.85546875" customWidth="1"/>
    <col min="2" max="2" width="3" customWidth="1"/>
    <col min="3" max="3" width="44.28515625" customWidth="1"/>
    <col min="4" max="4" width="8.7109375" customWidth="1"/>
    <col min="29" max="41" width="0" hidden="1" customWidth="1"/>
    <col min="44" max="44" width="9.42578125" bestFit="1" customWidth="1"/>
  </cols>
  <sheetData>
    <row r="1" spans="3:44">
      <c r="C1" s="9" t="s">
        <v>13</v>
      </c>
      <c r="D1" s="10"/>
      <c r="E1" s="11"/>
      <c r="F1" s="10">
        <v>1</v>
      </c>
      <c r="G1" s="10">
        <v>2</v>
      </c>
      <c r="H1" s="10">
        <v>3</v>
      </c>
      <c r="I1" s="10">
        <v>4</v>
      </c>
      <c r="J1" s="10">
        <v>5</v>
      </c>
      <c r="K1" s="10">
        <v>6</v>
      </c>
      <c r="L1" s="10">
        <v>7</v>
      </c>
      <c r="M1" s="10">
        <v>8</v>
      </c>
      <c r="N1" s="10">
        <v>9</v>
      </c>
      <c r="O1" s="10">
        <v>10</v>
      </c>
      <c r="P1" s="10">
        <v>11</v>
      </c>
      <c r="Q1" s="10">
        <v>12</v>
      </c>
      <c r="R1" s="10">
        <v>13</v>
      </c>
      <c r="S1" s="10">
        <v>14</v>
      </c>
      <c r="T1" s="10">
        <v>15</v>
      </c>
      <c r="U1" s="10">
        <v>16</v>
      </c>
      <c r="V1" s="10">
        <v>17</v>
      </c>
      <c r="W1" s="10">
        <v>18</v>
      </c>
      <c r="X1" s="10">
        <v>19</v>
      </c>
      <c r="Y1" s="10">
        <v>20</v>
      </c>
      <c r="Z1" s="10">
        <v>21</v>
      </c>
      <c r="AA1" s="10">
        <v>22</v>
      </c>
      <c r="AB1" s="10"/>
      <c r="AC1" s="10">
        <v>23</v>
      </c>
      <c r="AD1" s="10">
        <v>24</v>
      </c>
      <c r="AE1" s="10">
        <v>25</v>
      </c>
      <c r="AF1" s="10">
        <v>26</v>
      </c>
      <c r="AG1" s="10">
        <v>27</v>
      </c>
      <c r="AH1" s="10">
        <v>28</v>
      </c>
      <c r="AI1" s="10">
        <v>29</v>
      </c>
      <c r="AJ1" s="10">
        <v>30</v>
      </c>
      <c r="AK1" s="10">
        <v>31</v>
      </c>
      <c r="AL1" s="10">
        <v>32</v>
      </c>
      <c r="AM1" s="10">
        <v>33</v>
      </c>
      <c r="AN1" s="10">
        <v>34</v>
      </c>
      <c r="AO1" s="10">
        <v>35</v>
      </c>
      <c r="AQ1" s="341" t="s">
        <v>0</v>
      </c>
      <c r="AR1" s="10" t="s">
        <v>2</v>
      </c>
    </row>
    <row r="2" spans="3:44">
      <c r="C2" s="9"/>
      <c r="D2" s="12"/>
      <c r="E2" s="13"/>
      <c r="F2" s="14">
        <v>2023</v>
      </c>
      <c r="G2" s="14">
        <v>2024</v>
      </c>
      <c r="H2" s="14">
        <v>2025</v>
      </c>
      <c r="I2" s="14">
        <v>2026</v>
      </c>
      <c r="J2" s="14">
        <v>2027</v>
      </c>
      <c r="K2" s="14">
        <v>2028</v>
      </c>
      <c r="L2" s="14">
        <v>2029</v>
      </c>
      <c r="M2" s="14">
        <v>2030</v>
      </c>
      <c r="N2" s="14">
        <v>2031</v>
      </c>
      <c r="O2" s="14">
        <v>2032</v>
      </c>
      <c r="P2" s="14">
        <v>2033</v>
      </c>
      <c r="Q2" s="14">
        <v>2034</v>
      </c>
      <c r="R2" s="14">
        <v>2035</v>
      </c>
      <c r="S2" s="14">
        <v>2036</v>
      </c>
      <c r="T2" s="14">
        <v>2037</v>
      </c>
      <c r="U2" s="14">
        <v>2038</v>
      </c>
      <c r="V2" s="14">
        <v>2039</v>
      </c>
      <c r="W2" s="14">
        <v>2040</v>
      </c>
      <c r="X2" s="14">
        <v>2041</v>
      </c>
      <c r="Y2" s="14">
        <v>2042</v>
      </c>
      <c r="Z2" s="14">
        <v>2043</v>
      </c>
      <c r="AA2" s="14">
        <v>2044</v>
      </c>
      <c r="AB2" s="14">
        <v>2045</v>
      </c>
      <c r="AC2" s="14">
        <v>2046</v>
      </c>
      <c r="AD2" s="14">
        <v>2047</v>
      </c>
      <c r="AE2" s="14">
        <v>2048</v>
      </c>
      <c r="AF2" s="14">
        <v>2049</v>
      </c>
      <c r="AG2" s="14">
        <v>2050</v>
      </c>
      <c r="AH2" s="14">
        <v>2051</v>
      </c>
      <c r="AI2" s="14">
        <v>2052</v>
      </c>
      <c r="AJ2" s="14">
        <v>2053</v>
      </c>
      <c r="AK2" s="14">
        <v>2054</v>
      </c>
      <c r="AL2" s="14">
        <v>2055</v>
      </c>
      <c r="AM2" s="14">
        <v>2056</v>
      </c>
      <c r="AN2" s="14">
        <v>2057</v>
      </c>
      <c r="AO2" s="14">
        <v>2058</v>
      </c>
      <c r="AQ2" s="341"/>
      <c r="AR2" s="14" t="s">
        <v>14</v>
      </c>
    </row>
    <row r="3" spans="3:44" ht="5.0999999999999996" customHeight="1">
      <c r="C3" s="16"/>
      <c r="D3" s="15"/>
      <c r="E3" s="16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Q3" s="15"/>
      <c r="AR3" s="15"/>
    </row>
    <row r="4" spans="3:44">
      <c r="C4" s="17" t="s">
        <v>89</v>
      </c>
      <c r="D4" s="18"/>
      <c r="E4" s="17"/>
      <c r="F4" s="19">
        <f>F1</f>
        <v>1</v>
      </c>
      <c r="G4" s="19">
        <f>G1</f>
        <v>2</v>
      </c>
      <c r="H4" s="19">
        <f t="shared" ref="H4:AO4" si="0">H1</f>
        <v>3</v>
      </c>
      <c r="I4" s="19">
        <f t="shared" si="0"/>
        <v>4</v>
      </c>
      <c r="J4" s="19">
        <f t="shared" si="0"/>
        <v>5</v>
      </c>
      <c r="K4" s="19">
        <f t="shared" si="0"/>
        <v>6</v>
      </c>
      <c r="L4" s="19">
        <f t="shared" si="0"/>
        <v>7</v>
      </c>
      <c r="M4" s="19">
        <f t="shared" si="0"/>
        <v>8</v>
      </c>
      <c r="N4" s="19">
        <f t="shared" si="0"/>
        <v>9</v>
      </c>
      <c r="O4" s="19">
        <f t="shared" si="0"/>
        <v>10</v>
      </c>
      <c r="P4" s="19">
        <f t="shared" si="0"/>
        <v>11</v>
      </c>
      <c r="Q4" s="19">
        <f t="shared" si="0"/>
        <v>12</v>
      </c>
      <c r="R4" s="19">
        <f t="shared" si="0"/>
        <v>13</v>
      </c>
      <c r="S4" s="19">
        <f t="shared" si="0"/>
        <v>14</v>
      </c>
      <c r="T4" s="19">
        <f t="shared" si="0"/>
        <v>15</v>
      </c>
      <c r="U4" s="19">
        <f t="shared" si="0"/>
        <v>16</v>
      </c>
      <c r="V4" s="19">
        <f t="shared" si="0"/>
        <v>17</v>
      </c>
      <c r="W4" s="19">
        <f t="shared" si="0"/>
        <v>18</v>
      </c>
      <c r="X4" s="19">
        <f t="shared" si="0"/>
        <v>19</v>
      </c>
      <c r="Y4" s="19">
        <f t="shared" si="0"/>
        <v>20</v>
      </c>
      <c r="Z4" s="19">
        <f t="shared" si="0"/>
        <v>21</v>
      </c>
      <c r="AA4" s="19">
        <f t="shared" si="0"/>
        <v>22</v>
      </c>
      <c r="AB4" s="19">
        <f t="shared" si="0"/>
        <v>0</v>
      </c>
      <c r="AC4" s="19">
        <f t="shared" si="0"/>
        <v>23</v>
      </c>
      <c r="AD4" s="19">
        <f t="shared" si="0"/>
        <v>24</v>
      </c>
      <c r="AE4" s="19">
        <f t="shared" si="0"/>
        <v>25</v>
      </c>
      <c r="AF4" s="19">
        <f t="shared" si="0"/>
        <v>26</v>
      </c>
      <c r="AG4" s="19">
        <f t="shared" si="0"/>
        <v>27</v>
      </c>
      <c r="AH4" s="19">
        <f t="shared" si="0"/>
        <v>28</v>
      </c>
      <c r="AI4" s="19">
        <f t="shared" si="0"/>
        <v>29</v>
      </c>
      <c r="AJ4" s="19">
        <f t="shared" si="0"/>
        <v>30</v>
      </c>
      <c r="AK4" s="19">
        <f t="shared" si="0"/>
        <v>31</v>
      </c>
      <c r="AL4" s="19">
        <f t="shared" si="0"/>
        <v>32</v>
      </c>
      <c r="AM4" s="19">
        <f t="shared" si="0"/>
        <v>33</v>
      </c>
      <c r="AN4" s="19">
        <f t="shared" si="0"/>
        <v>34</v>
      </c>
      <c r="AO4" s="19">
        <f t="shared" si="0"/>
        <v>35</v>
      </c>
      <c r="AQ4" s="20"/>
      <c r="AR4" s="19"/>
    </row>
    <row r="5" spans="3:44" ht="5.0999999999999996" customHeight="1"/>
    <row r="6" spans="3:44">
      <c r="C6" s="24" t="s">
        <v>83</v>
      </c>
      <c r="D6" s="25">
        <v>1</v>
      </c>
      <c r="E6" s="26"/>
      <c r="F6" s="27" t="e">
        <f>VLOOKUP('Balanço de massa RVV'!F1,#REF!,22)</f>
        <v>#REF!</v>
      </c>
      <c r="G6" s="27" t="e">
        <f>VLOOKUP('Balanço de massa RVV'!G1,#REF!,22)</f>
        <v>#REF!</v>
      </c>
      <c r="H6" s="27" t="e">
        <f>VLOOKUP('Balanço de massa RVV'!H1,#REF!,22)</f>
        <v>#REF!</v>
      </c>
      <c r="I6" s="27" t="e">
        <f>VLOOKUP('Balanço de massa RVV'!I1,#REF!,22)</f>
        <v>#REF!</v>
      </c>
      <c r="J6" s="27" t="e">
        <f>VLOOKUP('Balanço de massa RVV'!J1,#REF!,22)</f>
        <v>#REF!</v>
      </c>
      <c r="K6" s="27" t="e">
        <f>VLOOKUP('Balanço de massa RVV'!K1,#REF!,22)</f>
        <v>#REF!</v>
      </c>
      <c r="L6" s="27" t="e">
        <f>VLOOKUP('Balanço de massa RVV'!L1,#REF!,22)</f>
        <v>#REF!</v>
      </c>
      <c r="M6" s="27" t="e">
        <f>VLOOKUP('Balanço de massa RVV'!M1,#REF!,22)</f>
        <v>#REF!</v>
      </c>
      <c r="N6" s="27" t="e">
        <f>VLOOKUP('Balanço de massa RVV'!N1,#REF!,22)</f>
        <v>#REF!</v>
      </c>
      <c r="O6" s="27" t="e">
        <f>VLOOKUP('Balanço de massa RVV'!O1,#REF!,22)</f>
        <v>#REF!</v>
      </c>
      <c r="P6" s="27" t="e">
        <f>VLOOKUP('Balanço de massa RVV'!P1,#REF!,22)</f>
        <v>#REF!</v>
      </c>
      <c r="Q6" s="27" t="e">
        <f>VLOOKUP('Balanço de massa RVV'!Q1,#REF!,22)</f>
        <v>#REF!</v>
      </c>
      <c r="R6" s="27" t="e">
        <f>VLOOKUP('Balanço de massa RVV'!R1,#REF!,22)</f>
        <v>#REF!</v>
      </c>
      <c r="S6" s="27" t="e">
        <f>VLOOKUP('Balanço de massa RVV'!S1,#REF!,22)</f>
        <v>#REF!</v>
      </c>
      <c r="T6" s="27" t="e">
        <f>VLOOKUP('Balanço de massa RVV'!T1,#REF!,22)</f>
        <v>#REF!</v>
      </c>
      <c r="U6" s="27" t="e">
        <f>VLOOKUP('Balanço de massa RVV'!U1,#REF!,22)</f>
        <v>#REF!</v>
      </c>
      <c r="V6" s="27" t="e">
        <f>VLOOKUP('Balanço de massa RVV'!V1,#REF!,22)</f>
        <v>#REF!</v>
      </c>
      <c r="W6" s="27" t="e">
        <f>VLOOKUP('Balanço de massa RVV'!W1,#REF!,22)</f>
        <v>#REF!</v>
      </c>
      <c r="X6" s="27" t="e">
        <f>VLOOKUP('Balanço de massa RVV'!X1,#REF!,22)</f>
        <v>#REF!</v>
      </c>
      <c r="Y6" s="27" t="e">
        <f>VLOOKUP('Balanço de massa RVV'!Y1,#REF!,22)</f>
        <v>#REF!</v>
      </c>
      <c r="Z6" s="27" t="e">
        <f>VLOOKUP('Balanço de massa RVV'!Z1,#REF!,22)</f>
        <v>#REF!</v>
      </c>
      <c r="AA6" s="27" t="e">
        <f>VLOOKUP('Balanço de massa RVV'!AA1,#REF!,22)</f>
        <v>#REF!</v>
      </c>
      <c r="AB6" s="27" t="e">
        <f>VLOOKUP('Balanço de massa RVV'!AB1,#REF!,22)</f>
        <v>#REF!</v>
      </c>
      <c r="AC6" s="27" t="e">
        <f>VLOOKUP('Balanço de massa RVV'!AC1,#REF!,13)</f>
        <v>#REF!</v>
      </c>
      <c r="AD6" s="27" t="e">
        <f>VLOOKUP('Balanço de massa RVV'!AD1,#REF!,13)</f>
        <v>#REF!</v>
      </c>
      <c r="AE6" s="27" t="e">
        <f>VLOOKUP('Balanço de massa RVV'!AE1,#REF!,13)</f>
        <v>#REF!</v>
      </c>
      <c r="AF6" s="27" t="e">
        <f>VLOOKUP('Balanço de massa RVV'!AF1,#REF!,13)</f>
        <v>#REF!</v>
      </c>
      <c r="AG6" s="27" t="e">
        <f>VLOOKUP('Balanço de massa RVV'!AG1,#REF!,13)</f>
        <v>#REF!</v>
      </c>
      <c r="AH6" s="27" t="e">
        <f>VLOOKUP('Balanço de massa RVV'!AH1,#REF!,13)</f>
        <v>#REF!</v>
      </c>
      <c r="AI6" s="27" t="e">
        <f>VLOOKUP('Balanço de massa RVV'!AI1,#REF!,13)</f>
        <v>#REF!</v>
      </c>
      <c r="AJ6" s="27" t="e">
        <f>VLOOKUP('Balanço de massa RVV'!AJ1,#REF!,13)</f>
        <v>#REF!</v>
      </c>
      <c r="AK6" s="27" t="e">
        <f>VLOOKUP('Balanço de massa RVV'!AK1,#REF!,13)</f>
        <v>#REF!</v>
      </c>
      <c r="AL6" s="27" t="e">
        <f>VLOOKUP('Balanço de massa RVV'!AL1,#REF!,13)</f>
        <v>#REF!</v>
      </c>
      <c r="AM6" s="27" t="e">
        <f>VLOOKUP('Balanço de massa RVV'!AM1,#REF!,13)</f>
        <v>#REF!</v>
      </c>
      <c r="AN6" s="27" t="e">
        <f>VLOOKUP('Balanço de massa RVV'!AN1,#REF!,13)</f>
        <v>#REF!</v>
      </c>
      <c r="AO6" s="27" t="e">
        <f>VLOOKUP('Balanço de massa RVV'!AO1,#REF!,13)</f>
        <v>#REF!</v>
      </c>
      <c r="AQ6" s="27" t="e">
        <f>SUM(F6:AA6)</f>
        <v>#REF!</v>
      </c>
      <c r="AR6" s="27" t="e">
        <f>AVERAGE(H6:AA6)</f>
        <v>#REF!</v>
      </c>
    </row>
    <row r="7" spans="3:44">
      <c r="C7" s="24" t="s">
        <v>84</v>
      </c>
      <c r="D7" s="28"/>
      <c r="E7" s="69"/>
      <c r="F7" s="27">
        <v>0</v>
      </c>
      <c r="G7" s="27">
        <v>0</v>
      </c>
      <c r="H7" s="27" t="e">
        <f>H6/(#REF!*12)</f>
        <v>#REF!</v>
      </c>
      <c r="I7" s="27" t="e">
        <f>I6/(#REF!*12)</f>
        <v>#REF!</v>
      </c>
      <c r="J7" s="27" t="e">
        <f>J6/(#REF!*12)</f>
        <v>#REF!</v>
      </c>
      <c r="K7" s="27" t="e">
        <f>K6/(#REF!*12)</f>
        <v>#REF!</v>
      </c>
      <c r="L7" s="27" t="e">
        <f>L6/(#REF!*12)</f>
        <v>#REF!</v>
      </c>
      <c r="M7" s="27" t="e">
        <f>M6/(#REF!*12)</f>
        <v>#REF!</v>
      </c>
      <c r="N7" s="27" t="e">
        <f>N6/(#REF!*12)</f>
        <v>#REF!</v>
      </c>
      <c r="O7" s="27" t="e">
        <f>O6/(#REF!*12)</f>
        <v>#REF!</v>
      </c>
      <c r="P7" s="27" t="e">
        <f>P6/(#REF!*12)</f>
        <v>#REF!</v>
      </c>
      <c r="Q7" s="27" t="e">
        <f>Q6/(#REF!*12)</f>
        <v>#REF!</v>
      </c>
      <c r="R7" s="27" t="e">
        <f>R6/(#REF!*12)</f>
        <v>#REF!</v>
      </c>
      <c r="S7" s="27" t="e">
        <f>S6/(#REF!*12)</f>
        <v>#REF!</v>
      </c>
      <c r="T7" s="27" t="e">
        <f>T6/(#REF!*12)</f>
        <v>#REF!</v>
      </c>
      <c r="U7" s="27" t="e">
        <f>U6/(#REF!*12)</f>
        <v>#REF!</v>
      </c>
      <c r="V7" s="27" t="e">
        <f>V6/(#REF!*12)</f>
        <v>#REF!</v>
      </c>
      <c r="W7" s="27" t="e">
        <f>W6/(#REF!*12)</f>
        <v>#REF!</v>
      </c>
      <c r="X7" s="27" t="e">
        <f>X6/(#REF!*12)</f>
        <v>#REF!</v>
      </c>
      <c r="Y7" s="27" t="e">
        <f>Y6/(#REF!*12)</f>
        <v>#REF!</v>
      </c>
      <c r="Z7" s="27" t="e">
        <f>Z6/(#REF!*12)</f>
        <v>#REF!</v>
      </c>
      <c r="AA7" s="27" t="e">
        <f>AA6/(#REF!*12)</f>
        <v>#REF!</v>
      </c>
      <c r="AB7" s="27" t="e">
        <f>AB6/(#REF!*12)</f>
        <v>#REF!</v>
      </c>
      <c r="AC7" s="27" t="e">
        <f>AC6/(#REF!*12)</f>
        <v>#REF!</v>
      </c>
      <c r="AD7" s="27" t="e">
        <f>AD6/(#REF!*12)</f>
        <v>#REF!</v>
      </c>
      <c r="AE7" s="27" t="e">
        <f>AE6/(#REF!*12)</f>
        <v>#REF!</v>
      </c>
      <c r="AF7" s="27" t="e">
        <f>AF6/(#REF!*12)</f>
        <v>#REF!</v>
      </c>
      <c r="AG7" s="27" t="e">
        <f>AG6/(#REF!*12)</f>
        <v>#REF!</v>
      </c>
      <c r="AH7" s="27" t="e">
        <f>AH6/(#REF!*12)</f>
        <v>#REF!</v>
      </c>
      <c r="AI7" s="27" t="e">
        <f>AI6/(#REF!*12)</f>
        <v>#REF!</v>
      </c>
      <c r="AJ7" s="27" t="e">
        <f>AJ6/(#REF!*12)</f>
        <v>#REF!</v>
      </c>
      <c r="AK7" s="27" t="e">
        <f>AK6/(#REF!*12)</f>
        <v>#REF!</v>
      </c>
      <c r="AL7" s="27" t="e">
        <f>AL6/(#REF!*12)</f>
        <v>#REF!</v>
      </c>
      <c r="AM7" s="27" t="e">
        <f>AM6/(#REF!*12)</f>
        <v>#REF!</v>
      </c>
      <c r="AN7" s="27" t="e">
        <f>AN6/(#REF!*12)</f>
        <v>#REF!</v>
      </c>
      <c r="AO7" s="27" t="e">
        <f>AO6/(#REF!*12)</f>
        <v>#REF!</v>
      </c>
      <c r="AQ7" s="27" t="e">
        <f>SUM(F7:AA7)</f>
        <v>#REF!</v>
      </c>
      <c r="AR7" s="27" t="e">
        <f>AVERAGE(H7:AA7)</f>
        <v>#REF!</v>
      </c>
    </row>
    <row r="8" spans="3:44" ht="5.0999999999999996" customHeight="1">
      <c r="C8" s="29"/>
      <c r="E8" s="2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Q8" s="27"/>
      <c r="AR8" s="27"/>
    </row>
    <row r="9" spans="3:44">
      <c r="C9" s="30" t="s">
        <v>94</v>
      </c>
      <c r="E9" s="2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Q9" s="31"/>
      <c r="AR9" s="31"/>
    </row>
    <row r="10" spans="3:44" ht="5.0999999999999996" customHeight="1"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Q10" s="32"/>
      <c r="AR10" s="32"/>
    </row>
    <row r="11" spans="3:44">
      <c r="C11" s="24" t="s">
        <v>18</v>
      </c>
      <c r="D11" s="342">
        <v>1</v>
      </c>
      <c r="F11" s="27" t="e">
        <f>F6</f>
        <v>#REF!</v>
      </c>
      <c r="G11" s="27" t="e">
        <f t="shared" ref="G11:AB12" si="1">G6</f>
        <v>#REF!</v>
      </c>
      <c r="H11" s="27" t="e">
        <f t="shared" si="1"/>
        <v>#REF!</v>
      </c>
      <c r="I11" s="27" t="e">
        <f>I6</f>
        <v>#REF!</v>
      </c>
      <c r="J11" s="27" t="e">
        <f t="shared" si="1"/>
        <v>#REF!</v>
      </c>
      <c r="K11" s="27" t="e">
        <f t="shared" si="1"/>
        <v>#REF!</v>
      </c>
      <c r="L11" s="27" t="e">
        <f t="shared" si="1"/>
        <v>#REF!</v>
      </c>
      <c r="M11" s="27" t="e">
        <f t="shared" si="1"/>
        <v>#REF!</v>
      </c>
      <c r="N11" s="27" t="e">
        <f t="shared" si="1"/>
        <v>#REF!</v>
      </c>
      <c r="O11" s="27" t="e">
        <f t="shared" si="1"/>
        <v>#REF!</v>
      </c>
      <c r="P11" s="27" t="e">
        <f t="shared" si="1"/>
        <v>#REF!</v>
      </c>
      <c r="Q11" s="27" t="e">
        <f t="shared" si="1"/>
        <v>#REF!</v>
      </c>
      <c r="R11" s="27" t="e">
        <f t="shared" si="1"/>
        <v>#REF!</v>
      </c>
      <c r="S11" s="27" t="e">
        <f t="shared" si="1"/>
        <v>#REF!</v>
      </c>
      <c r="T11" s="27" t="e">
        <f t="shared" si="1"/>
        <v>#REF!</v>
      </c>
      <c r="U11" s="27" t="e">
        <f t="shared" si="1"/>
        <v>#REF!</v>
      </c>
      <c r="V11" s="27" t="e">
        <f t="shared" si="1"/>
        <v>#REF!</v>
      </c>
      <c r="W11" s="27" t="e">
        <f t="shared" si="1"/>
        <v>#REF!</v>
      </c>
      <c r="X11" s="27" t="e">
        <f t="shared" si="1"/>
        <v>#REF!</v>
      </c>
      <c r="Y11" s="27" t="e">
        <f t="shared" si="1"/>
        <v>#REF!</v>
      </c>
      <c r="Z11" s="27" t="e">
        <f t="shared" si="1"/>
        <v>#REF!</v>
      </c>
      <c r="AA11" s="27" t="e">
        <f t="shared" si="1"/>
        <v>#REF!</v>
      </c>
      <c r="AB11" s="27" t="e">
        <f t="shared" si="1"/>
        <v>#REF!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Q11" s="27"/>
      <c r="AR11" s="27">
        <v>5814862.3361265417</v>
      </c>
    </row>
    <row r="12" spans="3:44">
      <c r="C12" s="24" t="s">
        <v>81</v>
      </c>
      <c r="D12" s="342"/>
      <c r="F12" s="27">
        <f>F7</f>
        <v>0</v>
      </c>
      <c r="G12" s="27">
        <f t="shared" si="1"/>
        <v>0</v>
      </c>
      <c r="H12" s="27" t="e">
        <f t="shared" si="1"/>
        <v>#REF!</v>
      </c>
      <c r="I12" s="27" t="e">
        <f>I7</f>
        <v>#REF!</v>
      </c>
      <c r="J12" s="27" t="e">
        <f t="shared" si="1"/>
        <v>#REF!</v>
      </c>
      <c r="K12" s="27" t="e">
        <f t="shared" si="1"/>
        <v>#REF!</v>
      </c>
      <c r="L12" s="27" t="e">
        <f t="shared" si="1"/>
        <v>#REF!</v>
      </c>
      <c r="M12" s="27" t="e">
        <f t="shared" si="1"/>
        <v>#REF!</v>
      </c>
      <c r="N12" s="27" t="e">
        <f t="shared" si="1"/>
        <v>#REF!</v>
      </c>
      <c r="O12" s="27" t="e">
        <f t="shared" si="1"/>
        <v>#REF!</v>
      </c>
      <c r="P12" s="27" t="e">
        <f t="shared" si="1"/>
        <v>#REF!</v>
      </c>
      <c r="Q12" s="27" t="e">
        <f t="shared" si="1"/>
        <v>#REF!</v>
      </c>
      <c r="R12" s="27" t="e">
        <f t="shared" si="1"/>
        <v>#REF!</v>
      </c>
      <c r="S12" s="27" t="e">
        <f t="shared" si="1"/>
        <v>#REF!</v>
      </c>
      <c r="T12" s="27" t="e">
        <f t="shared" si="1"/>
        <v>#REF!</v>
      </c>
      <c r="U12" s="27" t="e">
        <f>U7</f>
        <v>#REF!</v>
      </c>
      <c r="V12" s="27" t="e">
        <f t="shared" si="1"/>
        <v>#REF!</v>
      </c>
      <c r="W12" s="27" t="e">
        <f t="shared" si="1"/>
        <v>#REF!</v>
      </c>
      <c r="X12" s="27" t="e">
        <f t="shared" si="1"/>
        <v>#REF!</v>
      </c>
      <c r="Y12" s="27" t="e">
        <f t="shared" si="1"/>
        <v>#REF!</v>
      </c>
      <c r="Z12" s="27" t="e">
        <f t="shared" si="1"/>
        <v>#REF!</v>
      </c>
      <c r="AA12" s="27" t="e">
        <f t="shared" si="1"/>
        <v>#REF!</v>
      </c>
      <c r="AB12" s="83" t="e">
        <f t="shared" si="1"/>
        <v>#REF!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Q12" s="27"/>
      <c r="AR12" s="27">
        <v>517.70498006824607</v>
      </c>
    </row>
    <row r="13" spans="3:44" ht="5.0999999999999996" customHeight="1"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Q13" s="32"/>
      <c r="AR13" s="32"/>
    </row>
    <row r="14" spans="3:44">
      <c r="C14" s="24" t="s">
        <v>19</v>
      </c>
      <c r="D14" s="70">
        <v>2</v>
      </c>
      <c r="F14" s="33">
        <f>$D$14</f>
        <v>2</v>
      </c>
      <c r="G14" s="33">
        <f t="shared" ref="G14:AB14" si="2">$D$14</f>
        <v>2</v>
      </c>
      <c r="H14" s="33">
        <f t="shared" si="2"/>
        <v>2</v>
      </c>
      <c r="I14" s="33">
        <f>$D$14</f>
        <v>2</v>
      </c>
      <c r="J14" s="33">
        <f t="shared" si="2"/>
        <v>2</v>
      </c>
      <c r="K14" s="33">
        <f t="shared" si="2"/>
        <v>2</v>
      </c>
      <c r="L14" s="33">
        <f t="shared" si="2"/>
        <v>2</v>
      </c>
      <c r="M14" s="33">
        <f t="shared" si="2"/>
        <v>2</v>
      </c>
      <c r="N14" s="33">
        <f t="shared" si="2"/>
        <v>2</v>
      </c>
      <c r="O14" s="33">
        <f t="shared" si="2"/>
        <v>2</v>
      </c>
      <c r="P14" s="33">
        <f t="shared" si="2"/>
        <v>2</v>
      </c>
      <c r="Q14" s="33">
        <f t="shared" si="2"/>
        <v>2</v>
      </c>
      <c r="R14" s="33">
        <f t="shared" si="2"/>
        <v>2</v>
      </c>
      <c r="S14" s="33">
        <f t="shared" si="2"/>
        <v>2</v>
      </c>
      <c r="T14" s="33">
        <f t="shared" si="2"/>
        <v>2</v>
      </c>
      <c r="U14" s="33">
        <f t="shared" si="2"/>
        <v>2</v>
      </c>
      <c r="V14" s="33">
        <f t="shared" si="2"/>
        <v>2</v>
      </c>
      <c r="W14" s="33">
        <f t="shared" si="2"/>
        <v>2</v>
      </c>
      <c r="X14" s="33">
        <f t="shared" si="2"/>
        <v>2</v>
      </c>
      <c r="Y14" s="33">
        <f t="shared" si="2"/>
        <v>2</v>
      </c>
      <c r="Z14" s="33">
        <f t="shared" si="2"/>
        <v>2</v>
      </c>
      <c r="AA14" s="33">
        <f t="shared" si="2"/>
        <v>2</v>
      </c>
      <c r="AB14" s="33">
        <f t="shared" si="2"/>
        <v>2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Q14" s="33"/>
      <c r="AR14" s="33">
        <v>2</v>
      </c>
    </row>
    <row r="15" spans="3:44">
      <c r="C15" s="24" t="s">
        <v>20</v>
      </c>
      <c r="D15" s="70" t="e">
        <f>#REF!</f>
        <v>#REF!</v>
      </c>
      <c r="F15" s="33" t="e">
        <f>$D$15</f>
        <v>#REF!</v>
      </c>
      <c r="G15" s="33" t="e">
        <f t="shared" ref="G15:AB15" si="3">$D$15</f>
        <v>#REF!</v>
      </c>
      <c r="H15" s="33" t="e">
        <f t="shared" si="3"/>
        <v>#REF!</v>
      </c>
      <c r="I15" s="33" t="e">
        <f>$D$15</f>
        <v>#REF!</v>
      </c>
      <c r="J15" s="33" t="e">
        <f t="shared" si="3"/>
        <v>#REF!</v>
      </c>
      <c r="K15" s="33" t="e">
        <f t="shared" si="3"/>
        <v>#REF!</v>
      </c>
      <c r="L15" s="33" t="e">
        <f t="shared" si="3"/>
        <v>#REF!</v>
      </c>
      <c r="M15" s="33" t="e">
        <f t="shared" si="3"/>
        <v>#REF!</v>
      </c>
      <c r="N15" s="33" t="e">
        <f t="shared" si="3"/>
        <v>#REF!</v>
      </c>
      <c r="O15" s="33" t="e">
        <f t="shared" si="3"/>
        <v>#REF!</v>
      </c>
      <c r="P15" s="33" t="e">
        <f t="shared" si="3"/>
        <v>#REF!</v>
      </c>
      <c r="Q15" s="33" t="e">
        <f t="shared" si="3"/>
        <v>#REF!</v>
      </c>
      <c r="R15" s="33" t="e">
        <f t="shared" si="3"/>
        <v>#REF!</v>
      </c>
      <c r="S15" s="33" t="e">
        <f t="shared" si="3"/>
        <v>#REF!</v>
      </c>
      <c r="T15" s="33" t="e">
        <f t="shared" si="3"/>
        <v>#REF!</v>
      </c>
      <c r="U15" s="33" t="e">
        <f t="shared" si="3"/>
        <v>#REF!</v>
      </c>
      <c r="V15" s="33" t="e">
        <f t="shared" si="3"/>
        <v>#REF!</v>
      </c>
      <c r="W15" s="33" t="e">
        <f t="shared" si="3"/>
        <v>#REF!</v>
      </c>
      <c r="X15" s="33" t="e">
        <f t="shared" si="3"/>
        <v>#REF!</v>
      </c>
      <c r="Y15" s="33" t="e">
        <f t="shared" si="3"/>
        <v>#REF!</v>
      </c>
      <c r="Z15" s="33" t="e">
        <f t="shared" si="3"/>
        <v>#REF!</v>
      </c>
      <c r="AA15" s="33" t="e">
        <f t="shared" si="3"/>
        <v>#REF!</v>
      </c>
      <c r="AB15" s="33" t="e">
        <f t="shared" si="3"/>
        <v>#REF!</v>
      </c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Q15" s="33"/>
      <c r="AR15" s="33">
        <v>7</v>
      </c>
    </row>
    <row r="16" spans="3:44" ht="5.0999999999999996" customHeight="1"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Q16" s="32"/>
      <c r="AR16" s="32"/>
    </row>
    <row r="17" spans="1:45">
      <c r="A17" s="39"/>
      <c r="B17" s="39"/>
      <c r="C17" s="34" t="s">
        <v>21</v>
      </c>
      <c r="D17" s="35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Q17" s="37"/>
      <c r="AR17" s="37"/>
      <c r="AS17" s="39"/>
    </row>
    <row r="18" spans="1:45" ht="5.0999999999999996" customHeight="1"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Q18" s="32"/>
      <c r="AR18" s="32"/>
    </row>
    <row r="19" spans="1:45">
      <c r="C19" s="40" t="s">
        <v>22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Q19" s="32"/>
      <c r="AR19" s="32"/>
    </row>
    <row r="20" spans="1:45" s="1" customFormat="1">
      <c r="C20" s="24" t="s">
        <v>23</v>
      </c>
      <c r="D20" s="80" t="e">
        <f>#REF!</f>
        <v>#REF!</v>
      </c>
      <c r="E20" s="21"/>
      <c r="F20" s="41"/>
      <c r="G20" s="41"/>
      <c r="H20" s="45" t="e">
        <f>$D$20</f>
        <v>#REF!</v>
      </c>
      <c r="I20" s="45" t="e">
        <f>$D$20</f>
        <v>#REF!</v>
      </c>
      <c r="J20" s="45" t="e">
        <f t="shared" ref="J20:AB20" si="4">$D$20</f>
        <v>#REF!</v>
      </c>
      <c r="K20" s="45" t="e">
        <f t="shared" si="4"/>
        <v>#REF!</v>
      </c>
      <c r="L20" s="45" t="e">
        <f t="shared" si="4"/>
        <v>#REF!</v>
      </c>
      <c r="M20" s="45" t="e">
        <f t="shared" si="4"/>
        <v>#REF!</v>
      </c>
      <c r="N20" s="45" t="e">
        <f t="shared" si="4"/>
        <v>#REF!</v>
      </c>
      <c r="O20" s="45" t="e">
        <f t="shared" si="4"/>
        <v>#REF!</v>
      </c>
      <c r="P20" s="45" t="e">
        <f t="shared" si="4"/>
        <v>#REF!</v>
      </c>
      <c r="Q20" s="45" t="e">
        <f t="shared" si="4"/>
        <v>#REF!</v>
      </c>
      <c r="R20" s="45" t="e">
        <f t="shared" si="4"/>
        <v>#REF!</v>
      </c>
      <c r="S20" s="45" t="e">
        <f t="shared" si="4"/>
        <v>#REF!</v>
      </c>
      <c r="T20" s="45" t="e">
        <f t="shared" si="4"/>
        <v>#REF!</v>
      </c>
      <c r="U20" s="45" t="e">
        <f t="shared" si="4"/>
        <v>#REF!</v>
      </c>
      <c r="V20" s="45" t="e">
        <f t="shared" si="4"/>
        <v>#REF!</v>
      </c>
      <c r="W20" s="45" t="e">
        <f t="shared" si="4"/>
        <v>#REF!</v>
      </c>
      <c r="X20" s="45" t="e">
        <f t="shared" si="4"/>
        <v>#REF!</v>
      </c>
      <c r="Y20" s="45" t="e">
        <f t="shared" si="4"/>
        <v>#REF!</v>
      </c>
      <c r="Z20" s="45" t="e">
        <f t="shared" si="4"/>
        <v>#REF!</v>
      </c>
      <c r="AA20" s="45" t="e">
        <f t="shared" si="4"/>
        <v>#REF!</v>
      </c>
      <c r="AB20" s="45" t="e">
        <f t="shared" si="4"/>
        <v>#REF!</v>
      </c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Q20" s="45"/>
      <c r="AR20" s="41" t="e">
        <f t="shared" ref="AR20:AR25" si="5">AVERAGE(I20:AB20)</f>
        <v>#REF!</v>
      </c>
    </row>
    <row r="21" spans="1:45" s="1" customFormat="1">
      <c r="C21" s="24" t="s">
        <v>24</v>
      </c>
      <c r="D21" s="80">
        <v>75</v>
      </c>
      <c r="E21" s="21" t="s">
        <v>25</v>
      </c>
      <c r="F21" s="42"/>
      <c r="G21" s="42"/>
      <c r="H21" s="42">
        <f>$D$21</f>
        <v>75</v>
      </c>
      <c r="I21" s="42">
        <f>$D$21</f>
        <v>75</v>
      </c>
      <c r="J21" s="42">
        <f t="shared" ref="J21:AB21" si="6">$D$21</f>
        <v>75</v>
      </c>
      <c r="K21" s="42">
        <f t="shared" si="6"/>
        <v>75</v>
      </c>
      <c r="L21" s="42">
        <f t="shared" si="6"/>
        <v>75</v>
      </c>
      <c r="M21" s="42">
        <f t="shared" si="6"/>
        <v>75</v>
      </c>
      <c r="N21" s="42">
        <f t="shared" si="6"/>
        <v>75</v>
      </c>
      <c r="O21" s="42">
        <f t="shared" si="6"/>
        <v>75</v>
      </c>
      <c r="P21" s="42">
        <f t="shared" si="6"/>
        <v>75</v>
      </c>
      <c r="Q21" s="42">
        <f t="shared" si="6"/>
        <v>75</v>
      </c>
      <c r="R21" s="42">
        <f t="shared" si="6"/>
        <v>75</v>
      </c>
      <c r="S21" s="42">
        <f t="shared" si="6"/>
        <v>75</v>
      </c>
      <c r="T21" s="42">
        <f t="shared" si="6"/>
        <v>75</v>
      </c>
      <c r="U21" s="42">
        <f t="shared" si="6"/>
        <v>75</v>
      </c>
      <c r="V21" s="42">
        <f t="shared" si="6"/>
        <v>75</v>
      </c>
      <c r="W21" s="42">
        <f t="shared" si="6"/>
        <v>75</v>
      </c>
      <c r="X21" s="42">
        <f t="shared" si="6"/>
        <v>75</v>
      </c>
      <c r="Y21" s="42">
        <f t="shared" si="6"/>
        <v>75</v>
      </c>
      <c r="Z21" s="42">
        <f t="shared" si="6"/>
        <v>75</v>
      </c>
      <c r="AA21" s="42">
        <f t="shared" si="6"/>
        <v>75</v>
      </c>
      <c r="AB21" s="42">
        <f t="shared" si="6"/>
        <v>75</v>
      </c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Q21" s="42"/>
      <c r="AR21" s="41">
        <f t="shared" si="5"/>
        <v>75</v>
      </c>
    </row>
    <row r="22" spans="1:45" s="1" customFormat="1">
      <c r="C22" s="24" t="s">
        <v>26</v>
      </c>
      <c r="D22" s="43">
        <v>0.8</v>
      </c>
      <c r="E22" s="21" t="s">
        <v>27</v>
      </c>
      <c r="F22" s="44"/>
      <c r="G22" s="44"/>
      <c r="H22" s="44">
        <f>$D$22</f>
        <v>0.8</v>
      </c>
      <c r="I22" s="44">
        <f>$D$22</f>
        <v>0.8</v>
      </c>
      <c r="J22" s="44">
        <f t="shared" ref="J22:AB22" si="7">$D$22</f>
        <v>0.8</v>
      </c>
      <c r="K22" s="44">
        <f t="shared" si="7"/>
        <v>0.8</v>
      </c>
      <c r="L22" s="44">
        <f t="shared" si="7"/>
        <v>0.8</v>
      </c>
      <c r="M22" s="44">
        <f t="shared" si="7"/>
        <v>0.8</v>
      </c>
      <c r="N22" s="44">
        <f t="shared" si="7"/>
        <v>0.8</v>
      </c>
      <c r="O22" s="44">
        <f t="shared" si="7"/>
        <v>0.8</v>
      </c>
      <c r="P22" s="44">
        <f t="shared" si="7"/>
        <v>0.8</v>
      </c>
      <c r="Q22" s="44">
        <f t="shared" si="7"/>
        <v>0.8</v>
      </c>
      <c r="R22" s="44">
        <f t="shared" si="7"/>
        <v>0.8</v>
      </c>
      <c r="S22" s="44">
        <f t="shared" si="7"/>
        <v>0.8</v>
      </c>
      <c r="T22" s="44">
        <f t="shared" si="7"/>
        <v>0.8</v>
      </c>
      <c r="U22" s="44">
        <f t="shared" si="7"/>
        <v>0.8</v>
      </c>
      <c r="V22" s="44">
        <f t="shared" si="7"/>
        <v>0.8</v>
      </c>
      <c r="W22" s="44">
        <f t="shared" si="7"/>
        <v>0.8</v>
      </c>
      <c r="X22" s="44">
        <f t="shared" si="7"/>
        <v>0.8</v>
      </c>
      <c r="Y22" s="44">
        <f t="shared" si="7"/>
        <v>0.8</v>
      </c>
      <c r="Z22" s="44">
        <f t="shared" si="7"/>
        <v>0.8</v>
      </c>
      <c r="AA22" s="44">
        <f t="shared" si="7"/>
        <v>0.8</v>
      </c>
      <c r="AB22" s="44">
        <f t="shared" si="7"/>
        <v>0.8</v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Q22" s="44"/>
      <c r="AR22" s="75">
        <f t="shared" si="5"/>
        <v>0.80000000000000016</v>
      </c>
    </row>
    <row r="23" spans="1:45" s="1" customFormat="1">
      <c r="C23" s="24" t="s">
        <v>28</v>
      </c>
      <c r="D23" s="43"/>
      <c r="E23" s="21"/>
      <c r="F23" s="44"/>
      <c r="G23" s="44"/>
      <c r="H23" s="42">
        <v>12</v>
      </c>
      <c r="I23" s="42">
        <v>12</v>
      </c>
      <c r="J23" s="42">
        <v>12</v>
      </c>
      <c r="K23" s="42">
        <v>12</v>
      </c>
      <c r="L23" s="42">
        <v>12</v>
      </c>
      <c r="M23" s="42">
        <v>12</v>
      </c>
      <c r="N23" s="42">
        <v>12</v>
      </c>
      <c r="O23" s="42">
        <v>12</v>
      </c>
      <c r="P23" s="42">
        <v>12</v>
      </c>
      <c r="Q23" s="42">
        <v>12</v>
      </c>
      <c r="R23" s="42">
        <v>12</v>
      </c>
      <c r="S23" s="42">
        <v>12</v>
      </c>
      <c r="T23" s="42">
        <v>12</v>
      </c>
      <c r="U23" s="42">
        <v>12</v>
      </c>
      <c r="V23" s="42">
        <v>12</v>
      </c>
      <c r="W23" s="42">
        <v>12</v>
      </c>
      <c r="X23" s="42">
        <v>12</v>
      </c>
      <c r="Y23" s="42">
        <v>12</v>
      </c>
      <c r="Z23" s="42">
        <v>12</v>
      </c>
      <c r="AA23" s="42">
        <v>12</v>
      </c>
      <c r="AB23" s="42">
        <v>12</v>
      </c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Q23" s="27">
        <f>SUM(I23:AB23)</f>
        <v>240</v>
      </c>
      <c r="AR23" s="76">
        <f t="shared" si="5"/>
        <v>12</v>
      </c>
    </row>
    <row r="24" spans="1:45" s="1" customFormat="1">
      <c r="C24" s="24" t="s">
        <v>29</v>
      </c>
      <c r="D24" s="28"/>
      <c r="E24" s="21"/>
      <c r="F24" s="45">
        <v>0</v>
      </c>
      <c r="G24" s="45">
        <v>0</v>
      </c>
      <c r="H24" s="45" t="e">
        <f>H14*H15*H20*H21*H22</f>
        <v>#REF!</v>
      </c>
      <c r="I24" s="45" t="e">
        <f>I14*I15*I20*I21*I22</f>
        <v>#REF!</v>
      </c>
      <c r="J24" s="45" t="e">
        <f t="shared" ref="J24:AB24" si="8">J14*J15*J20*J21*J22</f>
        <v>#REF!</v>
      </c>
      <c r="K24" s="45" t="e">
        <f t="shared" si="8"/>
        <v>#REF!</v>
      </c>
      <c r="L24" s="45" t="e">
        <f t="shared" si="8"/>
        <v>#REF!</v>
      </c>
      <c r="M24" s="45" t="e">
        <f t="shared" si="8"/>
        <v>#REF!</v>
      </c>
      <c r="N24" s="45" t="e">
        <f t="shared" si="8"/>
        <v>#REF!</v>
      </c>
      <c r="O24" s="45" t="e">
        <f t="shared" si="8"/>
        <v>#REF!</v>
      </c>
      <c r="P24" s="45" t="e">
        <f t="shared" si="8"/>
        <v>#REF!</v>
      </c>
      <c r="Q24" s="45" t="e">
        <f t="shared" si="8"/>
        <v>#REF!</v>
      </c>
      <c r="R24" s="45" t="e">
        <f t="shared" si="8"/>
        <v>#REF!</v>
      </c>
      <c r="S24" s="45" t="e">
        <f t="shared" si="8"/>
        <v>#REF!</v>
      </c>
      <c r="T24" s="45" t="e">
        <f t="shared" si="8"/>
        <v>#REF!</v>
      </c>
      <c r="U24" s="45" t="e">
        <f t="shared" si="8"/>
        <v>#REF!</v>
      </c>
      <c r="V24" s="45" t="e">
        <f t="shared" si="8"/>
        <v>#REF!</v>
      </c>
      <c r="W24" s="45" t="e">
        <f>W14*W15*W20*W21*W22</f>
        <v>#REF!</v>
      </c>
      <c r="X24" s="45" t="e">
        <f t="shared" si="8"/>
        <v>#REF!</v>
      </c>
      <c r="Y24" s="45" t="e">
        <f t="shared" si="8"/>
        <v>#REF!</v>
      </c>
      <c r="Z24" s="45" t="e">
        <f t="shared" si="8"/>
        <v>#REF!</v>
      </c>
      <c r="AA24" s="45" t="e">
        <f t="shared" si="8"/>
        <v>#REF!</v>
      </c>
      <c r="AB24" s="45" t="e">
        <f t="shared" si="8"/>
        <v>#REF!</v>
      </c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Q24" s="27"/>
      <c r="AR24" s="76" t="e">
        <f t="shared" si="5"/>
        <v>#REF!</v>
      </c>
    </row>
    <row r="25" spans="1:45" s="1" customFormat="1">
      <c r="A25" s="22">
        <v>0</v>
      </c>
      <c r="C25" s="24" t="s">
        <v>30</v>
      </c>
      <c r="D25" s="28"/>
      <c r="E25" s="21"/>
      <c r="F25" s="45" t="e">
        <f>F24*#REF!*12</f>
        <v>#REF!</v>
      </c>
      <c r="G25" s="45" t="e">
        <f>G24*#REF!*12</f>
        <v>#REF!</v>
      </c>
      <c r="H25" s="45" t="e">
        <f>H24*#REF!*12</f>
        <v>#REF!</v>
      </c>
      <c r="I25" s="45" t="e">
        <f>I24*#REF!*12</f>
        <v>#REF!</v>
      </c>
      <c r="J25" s="45" t="e">
        <f>J24*#REF!*12</f>
        <v>#REF!</v>
      </c>
      <c r="K25" s="45" t="e">
        <f>K24*#REF!*12</f>
        <v>#REF!</v>
      </c>
      <c r="L25" s="45" t="e">
        <f>L24*#REF!*12</f>
        <v>#REF!</v>
      </c>
      <c r="M25" s="45" t="e">
        <f>M24*#REF!*12</f>
        <v>#REF!</v>
      </c>
      <c r="N25" s="45" t="e">
        <f>N24*#REF!*12</f>
        <v>#REF!</v>
      </c>
      <c r="O25" s="45" t="e">
        <f>O24*#REF!*12</f>
        <v>#REF!</v>
      </c>
      <c r="P25" s="45" t="e">
        <f>P24*#REF!*12</f>
        <v>#REF!</v>
      </c>
      <c r="Q25" s="45" t="e">
        <f>Q24*#REF!*12</f>
        <v>#REF!</v>
      </c>
      <c r="R25" s="45" t="e">
        <f>R24*#REF!*12</f>
        <v>#REF!</v>
      </c>
      <c r="S25" s="45" t="e">
        <f>S24*#REF!*12</f>
        <v>#REF!</v>
      </c>
      <c r="T25" s="45" t="e">
        <f>T24*#REF!*12</f>
        <v>#REF!</v>
      </c>
      <c r="U25" s="45" t="e">
        <f>U24*#REF!*12</f>
        <v>#REF!</v>
      </c>
      <c r="V25" s="45" t="e">
        <f>V24*#REF!*12</f>
        <v>#REF!</v>
      </c>
      <c r="W25" s="45" t="e">
        <f>W24*#REF!*12</f>
        <v>#REF!</v>
      </c>
      <c r="X25" s="45" t="e">
        <f>X24*#REF!*12</f>
        <v>#REF!</v>
      </c>
      <c r="Y25" s="45" t="e">
        <f>Y24*#REF!*12</f>
        <v>#REF!</v>
      </c>
      <c r="Z25" s="45" t="e">
        <f>Z24*#REF!*12</f>
        <v>#REF!</v>
      </c>
      <c r="AA25" s="45" t="e">
        <f>AA24*#REF!*12</f>
        <v>#REF!</v>
      </c>
      <c r="AB25" s="45" t="e">
        <f>AB24*#REF!*12</f>
        <v>#REF!</v>
      </c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Q25" s="27" t="e">
        <f>SUM(I25:AB25)</f>
        <v>#REF!</v>
      </c>
      <c r="AR25" s="77" t="e">
        <f t="shared" si="5"/>
        <v>#REF!</v>
      </c>
    </row>
    <row r="26" spans="1:45" s="4" customFormat="1" ht="5.0999999999999996" customHeight="1"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Q26" s="84"/>
      <c r="AR26" s="84"/>
    </row>
    <row r="27" spans="1:45" s="1" customFormat="1">
      <c r="C27" s="21" t="s">
        <v>85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Q27" s="32"/>
      <c r="AR27" s="32"/>
    </row>
    <row r="28" spans="1:45" s="1" customFormat="1">
      <c r="C28" s="24" t="s">
        <v>86</v>
      </c>
      <c r="F28" s="45">
        <v>0</v>
      </c>
      <c r="G28" s="45">
        <v>0</v>
      </c>
      <c r="H28" s="45" t="e">
        <f>MIN(H12,H24)</f>
        <v>#REF!</v>
      </c>
      <c r="I28" s="45" t="e">
        <f>MIN(I12,I24)</f>
        <v>#REF!</v>
      </c>
      <c r="J28" s="45" t="e">
        <f t="shared" ref="J28:Z28" si="9">MIN(J12,J24)</f>
        <v>#REF!</v>
      </c>
      <c r="K28" s="45" t="e">
        <f t="shared" si="9"/>
        <v>#REF!</v>
      </c>
      <c r="L28" s="45" t="e">
        <f t="shared" si="9"/>
        <v>#REF!</v>
      </c>
      <c r="M28" s="45" t="e">
        <f t="shared" si="9"/>
        <v>#REF!</v>
      </c>
      <c r="N28" s="45" t="e">
        <f t="shared" si="9"/>
        <v>#REF!</v>
      </c>
      <c r="O28" s="45" t="e">
        <f t="shared" si="9"/>
        <v>#REF!</v>
      </c>
      <c r="P28" s="45" t="e">
        <f>MIN(P12,P24)</f>
        <v>#REF!</v>
      </c>
      <c r="Q28" s="45" t="e">
        <f t="shared" si="9"/>
        <v>#REF!</v>
      </c>
      <c r="R28" s="45" t="e">
        <f t="shared" si="9"/>
        <v>#REF!</v>
      </c>
      <c r="S28" s="45" t="e">
        <f t="shared" si="9"/>
        <v>#REF!</v>
      </c>
      <c r="T28" s="45" t="e">
        <f>MIN(T12,T24)</f>
        <v>#REF!</v>
      </c>
      <c r="U28" s="45" t="e">
        <f>MIN(U12,U24)</f>
        <v>#REF!</v>
      </c>
      <c r="V28" s="45" t="e">
        <f t="shared" si="9"/>
        <v>#REF!</v>
      </c>
      <c r="W28" s="45" t="e">
        <f t="shared" si="9"/>
        <v>#REF!</v>
      </c>
      <c r="X28" s="45" t="e">
        <f t="shared" si="9"/>
        <v>#REF!</v>
      </c>
      <c r="Y28" s="45" t="e">
        <f t="shared" si="9"/>
        <v>#REF!</v>
      </c>
      <c r="Z28" s="45" t="e">
        <f t="shared" si="9"/>
        <v>#REF!</v>
      </c>
      <c r="AA28" s="45" t="e">
        <f>MIN(AA12,AA24)</f>
        <v>#REF!</v>
      </c>
      <c r="AB28" s="45" t="e">
        <f>MIN(AB12,AB24)</f>
        <v>#REF!</v>
      </c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Q28" s="45"/>
      <c r="AR28" s="77" t="e">
        <f>AVERAGE(H28:AA28)</f>
        <v>#REF!</v>
      </c>
      <c r="AS28" s="46" t="e">
        <f>AR28/AR24</f>
        <v>#REF!</v>
      </c>
    </row>
    <row r="29" spans="1:45" s="1" customFormat="1">
      <c r="C29" s="24" t="s">
        <v>87</v>
      </c>
      <c r="F29" s="45">
        <f>IF(F24&gt;F12,F12*#REF!*F23,0)</f>
        <v>0</v>
      </c>
      <c r="G29" s="45">
        <f>IF(G24&gt;G12,G12*#REF!*G23,0)</f>
        <v>0</v>
      </c>
      <c r="H29" s="45" t="e">
        <f>IF(H24&gt;H12,H12*#REF!*H23,0)</f>
        <v>#REF!</v>
      </c>
      <c r="I29" s="45" t="e">
        <f>IF(I24&gt;I12,I12*#REF!*I23,0)</f>
        <v>#REF!</v>
      </c>
      <c r="J29" s="45" t="e">
        <f>IF(J24&gt;J12,J12*#REF!*J23,0)</f>
        <v>#REF!</v>
      </c>
      <c r="K29" s="45" t="e">
        <f>IF(K24&gt;K12,K12*#REF!*K23,0)</f>
        <v>#REF!</v>
      </c>
      <c r="L29" s="45" t="e">
        <f>IF(L24&gt;L12,L12*#REF!*L23,0)</f>
        <v>#REF!</v>
      </c>
      <c r="M29" s="45" t="e">
        <f>IF(M24&gt;M12,M12*#REF!*M23,0)</f>
        <v>#REF!</v>
      </c>
      <c r="N29" s="45" t="e">
        <f>IF(N24&gt;N12,N12*#REF!*N23,0)</f>
        <v>#REF!</v>
      </c>
      <c r="O29" s="45" t="e">
        <f>IF(O24&gt;O12,O12*#REF!*O23,0)</f>
        <v>#REF!</v>
      </c>
      <c r="P29" s="45" t="e">
        <f>IF(P24&gt;P12,P12*#REF!*P23,0)</f>
        <v>#REF!</v>
      </c>
      <c r="Q29" s="45" t="e">
        <f>IF(Q24&gt;Q12,Q12*#REF!*Q23,0)</f>
        <v>#REF!</v>
      </c>
      <c r="R29" s="45" t="e">
        <f>IF(R24&gt;R12,R12*#REF!*R23,0)</f>
        <v>#REF!</v>
      </c>
      <c r="S29" s="45" t="e">
        <f>IF(S24&gt;S12,S12*#REF!*S23,0)</f>
        <v>#REF!</v>
      </c>
      <c r="T29" s="45" t="e">
        <f>IF(T24&gt;T12,T12*#REF!*T23,0)</f>
        <v>#REF!</v>
      </c>
      <c r="U29" s="45" t="e">
        <f>IF(U24&gt;U12,U12*#REF!*U23,0)</f>
        <v>#REF!</v>
      </c>
      <c r="V29" s="45" t="e">
        <f>IF(V24&gt;V12,V12*#REF!*V23,0)</f>
        <v>#REF!</v>
      </c>
      <c r="W29" s="45" t="e">
        <f>IF(W24&gt;W12,W12*#REF!*W23,0)</f>
        <v>#REF!</v>
      </c>
      <c r="X29" s="45" t="e">
        <f>IF(X24&gt;X12,X12*#REF!*X23,0)</f>
        <v>#REF!</v>
      </c>
      <c r="Y29" s="45" t="e">
        <f>IF(Y24&gt;Y12,Y12*#REF!*Y23,0)</f>
        <v>#REF!</v>
      </c>
      <c r="Z29" s="45" t="e">
        <f>IF(Z24&gt;Z12,Z12*#REF!*Z23,0)</f>
        <v>#REF!</v>
      </c>
      <c r="AA29" s="45" t="e">
        <f>IF(AA24&gt;AA12,AA12*#REF!*AA23,0)</f>
        <v>#REF!</v>
      </c>
      <c r="AB29" s="45" t="e">
        <f>IF(AB24&gt;AB12,AB12*#REF!*AB23,0)</f>
        <v>#REF!</v>
      </c>
      <c r="AC29" s="45">
        <f>IF(AC24&gt;AC12,AC12*#REF!*AC23,0)</f>
        <v>0</v>
      </c>
      <c r="AD29" s="45">
        <f>IF(AD24&gt;AD12,AD12*#REF!*AD23,0)</f>
        <v>0</v>
      </c>
      <c r="AE29" s="45">
        <f>IF(AE24&gt;AE12,AE12*#REF!*AE23,0)</f>
        <v>0</v>
      </c>
      <c r="AF29" s="45">
        <f>IF(AF24&gt;AF12,AF12*#REF!*AF23,0)</f>
        <v>0</v>
      </c>
      <c r="AG29" s="45">
        <f>IF(AG24&gt;AG12,AG12*#REF!*AG23,0)</f>
        <v>0</v>
      </c>
      <c r="AH29" s="45">
        <f>IF(AH24&gt;AH12,AH12*#REF!*AH23,0)</f>
        <v>0</v>
      </c>
      <c r="AI29" s="45">
        <f>IF(AI24&gt;AI12,AI12*#REF!*AI23,0)</f>
        <v>0</v>
      </c>
      <c r="AJ29" s="45">
        <f>IF(AJ24&gt;AJ12,AJ12*#REF!*AJ23,0)</f>
        <v>0</v>
      </c>
      <c r="AK29" s="45">
        <f>IF(AK24&gt;AK12,AK12*#REF!*AK23,0)</f>
        <v>0</v>
      </c>
      <c r="AL29" s="45">
        <f>IF(AL24&gt;AL12,AL12*#REF!*AL23,0)</f>
        <v>0</v>
      </c>
      <c r="AM29" s="45">
        <f>IF(AM24&gt;AM12,AM12*#REF!*AM23,0)</f>
        <v>0</v>
      </c>
      <c r="AN29" s="45">
        <f>IF(AN24&gt;AN12,AN12*#REF!*AN23,0)</f>
        <v>0</v>
      </c>
      <c r="AO29" s="45">
        <f>IF(AO24&gt;AO12,AO12*#REF!*AO23,0)</f>
        <v>0</v>
      </c>
      <c r="AQ29" s="27" t="e">
        <f>SUM(H29:AA29)</f>
        <v>#REF!</v>
      </c>
      <c r="AR29" s="77" t="e">
        <f>AVERAGE(H29:AA29)</f>
        <v>#REF!</v>
      </c>
    </row>
    <row r="30" spans="1:45" s="1" customFormat="1" ht="5.0999999999999996" customHeight="1"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Q30" s="32"/>
      <c r="AR30" s="32"/>
    </row>
    <row r="31" spans="1:45" s="1" customFormat="1">
      <c r="C31" s="24" t="s">
        <v>34</v>
      </c>
      <c r="D31" s="90"/>
      <c r="F31" s="45">
        <v>0</v>
      </c>
      <c r="G31" s="45">
        <v>0</v>
      </c>
      <c r="H31" s="45" t="e">
        <f>H32/H23/#REF!</f>
        <v>#REF!</v>
      </c>
      <c r="I31" s="45" t="e">
        <f>I32/I23/#REF!</f>
        <v>#REF!</v>
      </c>
      <c r="J31" s="45" t="e">
        <f>J32/J23/#REF!</f>
        <v>#REF!</v>
      </c>
      <c r="K31" s="45" t="e">
        <f>K32/K23/#REF!</f>
        <v>#REF!</v>
      </c>
      <c r="L31" s="45" t="e">
        <f>L32/L23/#REF!</f>
        <v>#REF!</v>
      </c>
      <c r="M31" s="45" t="e">
        <f>M32/M23/#REF!</f>
        <v>#REF!</v>
      </c>
      <c r="N31" s="45" t="e">
        <f>N32/N23/#REF!</f>
        <v>#REF!</v>
      </c>
      <c r="O31" s="45" t="e">
        <f>O32/O23/#REF!</f>
        <v>#REF!</v>
      </c>
      <c r="P31" s="45" t="e">
        <f>P32/P23/#REF!</f>
        <v>#REF!</v>
      </c>
      <c r="Q31" s="45" t="e">
        <f>Q32/Q23/#REF!</f>
        <v>#REF!</v>
      </c>
      <c r="R31" s="45" t="e">
        <f>R32/R23/#REF!</f>
        <v>#REF!</v>
      </c>
      <c r="S31" s="45" t="e">
        <f>S32/S23/#REF!</f>
        <v>#REF!</v>
      </c>
      <c r="T31" s="45" t="e">
        <f>T32/T23/#REF!</f>
        <v>#REF!</v>
      </c>
      <c r="U31" s="45" t="e">
        <f>U32/U23/#REF!</f>
        <v>#REF!</v>
      </c>
      <c r="V31" s="45" t="e">
        <f>V32/V23/#REF!</f>
        <v>#REF!</v>
      </c>
      <c r="W31" s="45" t="e">
        <f>W32/W23/#REF!</f>
        <v>#REF!</v>
      </c>
      <c r="X31" s="45" t="e">
        <f>X32/X23/#REF!</f>
        <v>#REF!</v>
      </c>
      <c r="Y31" s="45" t="e">
        <f>Y32/Y23/#REF!</f>
        <v>#REF!</v>
      </c>
      <c r="Z31" s="45" t="e">
        <f>Z32/Z23/#REF!</f>
        <v>#REF!</v>
      </c>
      <c r="AA31" s="45" t="e">
        <f>AA32/AA23/#REF!</f>
        <v>#REF!</v>
      </c>
      <c r="AB31" s="45" t="e">
        <f>AB32/AB23/#REF!</f>
        <v>#REF!</v>
      </c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Q31" s="27" t="e">
        <f t="shared" ref="AQ31:AQ38" si="10">SUM(H31:AA31)</f>
        <v>#REF!</v>
      </c>
      <c r="AR31" s="77" t="e">
        <f>AVERAGE(H31:AA31)</f>
        <v>#REF!</v>
      </c>
      <c r="AS31" s="46" t="e">
        <f>AR31/AR24</f>
        <v>#REF!</v>
      </c>
    </row>
    <row r="32" spans="1:45" s="1" customFormat="1">
      <c r="C32" s="24" t="s">
        <v>35</v>
      </c>
      <c r="F32" s="45">
        <v>0</v>
      </c>
      <c r="G32" s="45">
        <v>0</v>
      </c>
      <c r="H32" s="45" t="e">
        <f>H11-H29</f>
        <v>#REF!</v>
      </c>
      <c r="I32" s="45" t="e">
        <f>I11-I29</f>
        <v>#REF!</v>
      </c>
      <c r="J32" s="45" t="e">
        <f t="shared" ref="J32:AA32" si="11">J11-J29</f>
        <v>#REF!</v>
      </c>
      <c r="K32" s="45" t="e">
        <f t="shared" si="11"/>
        <v>#REF!</v>
      </c>
      <c r="L32" s="45" t="e">
        <f t="shared" si="11"/>
        <v>#REF!</v>
      </c>
      <c r="M32" s="45" t="e">
        <f t="shared" si="11"/>
        <v>#REF!</v>
      </c>
      <c r="N32" s="45" t="e">
        <f t="shared" si="11"/>
        <v>#REF!</v>
      </c>
      <c r="O32" s="45" t="e">
        <f t="shared" si="11"/>
        <v>#REF!</v>
      </c>
      <c r="P32" s="45" t="e">
        <f>P11-P29</f>
        <v>#REF!</v>
      </c>
      <c r="Q32" s="45" t="e">
        <f t="shared" si="11"/>
        <v>#REF!</v>
      </c>
      <c r="R32" s="45" t="e">
        <f t="shared" si="11"/>
        <v>#REF!</v>
      </c>
      <c r="S32" s="45" t="e">
        <f t="shared" si="11"/>
        <v>#REF!</v>
      </c>
      <c r="T32" s="45" t="e">
        <f t="shared" si="11"/>
        <v>#REF!</v>
      </c>
      <c r="U32" s="45" t="e">
        <f t="shared" si="11"/>
        <v>#REF!</v>
      </c>
      <c r="V32" s="45" t="e">
        <f t="shared" si="11"/>
        <v>#REF!</v>
      </c>
      <c r="W32" s="45" t="e">
        <f t="shared" si="11"/>
        <v>#REF!</v>
      </c>
      <c r="X32" s="45" t="e">
        <f t="shared" si="11"/>
        <v>#REF!</v>
      </c>
      <c r="Y32" s="45" t="e">
        <f t="shared" si="11"/>
        <v>#REF!</v>
      </c>
      <c r="Z32" s="45" t="e">
        <f t="shared" si="11"/>
        <v>#REF!</v>
      </c>
      <c r="AA32" s="45" t="e">
        <f t="shared" si="11"/>
        <v>#REF!</v>
      </c>
      <c r="AB32" s="45" t="e">
        <f>AB11-AB29</f>
        <v>#REF!</v>
      </c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Q32" s="27" t="e">
        <f t="shared" si="10"/>
        <v>#REF!</v>
      </c>
      <c r="AR32" s="77" t="e">
        <f>AVERAGE(H32:AA32)</f>
        <v>#REF!</v>
      </c>
    </row>
    <row r="33" spans="1:45" s="1" customFormat="1" ht="5.0999999999999996" customHeight="1"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Q33" s="27">
        <f t="shared" si="10"/>
        <v>0</v>
      </c>
      <c r="AR33" s="32"/>
    </row>
    <row r="34" spans="1:45" s="1" customFormat="1">
      <c r="C34" s="21" t="s">
        <v>36</v>
      </c>
      <c r="D34" s="47">
        <f>SUM(D35:D38)</f>
        <v>0</v>
      </c>
      <c r="E34" s="21" t="s">
        <v>37</v>
      </c>
      <c r="F34" s="48">
        <v>0</v>
      </c>
      <c r="G34" s="48">
        <v>0</v>
      </c>
      <c r="H34" s="48" t="e">
        <f>$D$34*H29</f>
        <v>#REF!</v>
      </c>
      <c r="I34" s="48" t="e">
        <f>$D$34*I29</f>
        <v>#REF!</v>
      </c>
      <c r="J34" s="48" t="e">
        <f>$D$34*J29</f>
        <v>#REF!</v>
      </c>
      <c r="K34" s="48" t="e">
        <f>$D$34*K29</f>
        <v>#REF!</v>
      </c>
      <c r="L34" s="48" t="e">
        <f t="shared" ref="L34:AA34" si="12">$D$34*L29</f>
        <v>#REF!</v>
      </c>
      <c r="M34" s="48" t="e">
        <f t="shared" si="12"/>
        <v>#REF!</v>
      </c>
      <c r="N34" s="48" t="e">
        <f t="shared" si="12"/>
        <v>#REF!</v>
      </c>
      <c r="O34" s="48" t="e">
        <f t="shared" si="12"/>
        <v>#REF!</v>
      </c>
      <c r="P34" s="48" t="e">
        <f t="shared" si="12"/>
        <v>#REF!</v>
      </c>
      <c r="Q34" s="48" t="e">
        <f t="shared" si="12"/>
        <v>#REF!</v>
      </c>
      <c r="R34" s="48" t="e">
        <f t="shared" si="12"/>
        <v>#REF!</v>
      </c>
      <c r="S34" s="48" t="e">
        <f t="shared" si="12"/>
        <v>#REF!</v>
      </c>
      <c r="T34" s="48" t="e">
        <f t="shared" si="12"/>
        <v>#REF!</v>
      </c>
      <c r="U34" s="48" t="e">
        <f t="shared" si="12"/>
        <v>#REF!</v>
      </c>
      <c r="V34" s="48" t="e">
        <f t="shared" si="12"/>
        <v>#REF!</v>
      </c>
      <c r="W34" s="48" t="e">
        <f t="shared" si="12"/>
        <v>#REF!</v>
      </c>
      <c r="X34" s="48" t="e">
        <f t="shared" si="12"/>
        <v>#REF!</v>
      </c>
      <c r="Y34" s="48" t="e">
        <f t="shared" si="12"/>
        <v>#REF!</v>
      </c>
      <c r="Z34" s="48" t="e">
        <f t="shared" si="12"/>
        <v>#REF!</v>
      </c>
      <c r="AA34" s="48" t="e">
        <f t="shared" si="12"/>
        <v>#REF!</v>
      </c>
      <c r="AB34" s="48" t="e">
        <f>$D$34*AB29</f>
        <v>#REF!</v>
      </c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Q34" s="27" t="e">
        <f t="shared" si="10"/>
        <v>#REF!</v>
      </c>
      <c r="AR34" s="77" t="e">
        <f>AVERAGE(H34:AA34)</f>
        <v>#REF!</v>
      </c>
      <c r="AS34" s="50">
        <v>0</v>
      </c>
    </row>
    <row r="35" spans="1:45" s="1" customFormat="1">
      <c r="B35" s="51"/>
      <c r="C35" s="73" t="s">
        <v>38</v>
      </c>
      <c r="D35" s="53">
        <v>0</v>
      </c>
      <c r="E35" s="22" t="s">
        <v>37</v>
      </c>
      <c r="F35" s="50">
        <v>0</v>
      </c>
      <c r="G35" s="50">
        <v>0</v>
      </c>
      <c r="H35" s="50" t="e">
        <f>H$29*$D$35</f>
        <v>#REF!</v>
      </c>
      <c r="I35" s="50" t="e">
        <f>I$29*$D$35</f>
        <v>#REF!</v>
      </c>
      <c r="J35" s="50" t="e">
        <f>J$29*$D$35</f>
        <v>#REF!</v>
      </c>
      <c r="K35" s="50" t="e">
        <f>K$29*$D$35</f>
        <v>#REF!</v>
      </c>
      <c r="L35" s="50" t="e">
        <f>L$29*$D$35</f>
        <v>#REF!</v>
      </c>
      <c r="M35" s="50" t="e">
        <f t="shared" ref="M35:AB35" si="13">M$29*$D$35</f>
        <v>#REF!</v>
      </c>
      <c r="N35" s="50" t="e">
        <f t="shared" si="13"/>
        <v>#REF!</v>
      </c>
      <c r="O35" s="50" t="e">
        <f t="shared" si="13"/>
        <v>#REF!</v>
      </c>
      <c r="P35" s="50" t="e">
        <f t="shared" si="13"/>
        <v>#REF!</v>
      </c>
      <c r="Q35" s="50" t="e">
        <f t="shared" si="13"/>
        <v>#REF!</v>
      </c>
      <c r="R35" s="50" t="e">
        <f t="shared" si="13"/>
        <v>#REF!</v>
      </c>
      <c r="S35" s="50" t="e">
        <f t="shared" si="13"/>
        <v>#REF!</v>
      </c>
      <c r="T35" s="50" t="e">
        <f t="shared" si="13"/>
        <v>#REF!</v>
      </c>
      <c r="U35" s="50" t="e">
        <f t="shared" si="13"/>
        <v>#REF!</v>
      </c>
      <c r="V35" s="50" t="e">
        <f t="shared" si="13"/>
        <v>#REF!</v>
      </c>
      <c r="W35" s="50" t="e">
        <f t="shared" si="13"/>
        <v>#REF!</v>
      </c>
      <c r="X35" s="50" t="e">
        <f t="shared" si="13"/>
        <v>#REF!</v>
      </c>
      <c r="Y35" s="50" t="e">
        <f t="shared" si="13"/>
        <v>#REF!</v>
      </c>
      <c r="Z35" s="50" t="e">
        <f t="shared" si="13"/>
        <v>#REF!</v>
      </c>
      <c r="AA35" s="50" t="e">
        <f t="shared" si="13"/>
        <v>#REF!</v>
      </c>
      <c r="AB35" s="50" t="e">
        <f t="shared" si="13"/>
        <v>#REF!</v>
      </c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Q35" s="27" t="e">
        <f t="shared" si="10"/>
        <v>#REF!</v>
      </c>
      <c r="AR35" s="77" t="e">
        <f>AVERAGE(H35:AA35)</f>
        <v>#REF!</v>
      </c>
      <c r="AS35" s="22" t="s">
        <v>38</v>
      </c>
    </row>
    <row r="36" spans="1:45" s="1" customFormat="1">
      <c r="B36" s="51"/>
      <c r="C36" s="73" t="s">
        <v>39</v>
      </c>
      <c r="D36" s="53">
        <v>0</v>
      </c>
      <c r="E36" s="22" t="s">
        <v>37</v>
      </c>
      <c r="F36" s="50">
        <v>0</v>
      </c>
      <c r="G36" s="50">
        <v>0</v>
      </c>
      <c r="H36" s="50" t="e">
        <f>H$29*$D$36</f>
        <v>#REF!</v>
      </c>
      <c r="I36" s="50" t="e">
        <f>I$29*$D$36</f>
        <v>#REF!</v>
      </c>
      <c r="J36" s="50" t="e">
        <f t="shared" ref="J36:AA36" si="14">J$29*$D$36</f>
        <v>#REF!</v>
      </c>
      <c r="K36" s="50" t="e">
        <f t="shared" si="14"/>
        <v>#REF!</v>
      </c>
      <c r="L36" s="50" t="e">
        <f t="shared" si="14"/>
        <v>#REF!</v>
      </c>
      <c r="M36" s="50" t="e">
        <f t="shared" si="14"/>
        <v>#REF!</v>
      </c>
      <c r="N36" s="50" t="e">
        <f t="shared" si="14"/>
        <v>#REF!</v>
      </c>
      <c r="O36" s="50" t="e">
        <f t="shared" si="14"/>
        <v>#REF!</v>
      </c>
      <c r="P36" s="50" t="e">
        <f t="shared" si="14"/>
        <v>#REF!</v>
      </c>
      <c r="Q36" s="50" t="e">
        <f t="shared" si="14"/>
        <v>#REF!</v>
      </c>
      <c r="R36" s="50" t="e">
        <f t="shared" si="14"/>
        <v>#REF!</v>
      </c>
      <c r="S36" s="50" t="e">
        <f t="shared" si="14"/>
        <v>#REF!</v>
      </c>
      <c r="T36" s="50" t="e">
        <f t="shared" si="14"/>
        <v>#REF!</v>
      </c>
      <c r="U36" s="50" t="e">
        <f t="shared" si="14"/>
        <v>#REF!</v>
      </c>
      <c r="V36" s="50" t="e">
        <f t="shared" si="14"/>
        <v>#REF!</v>
      </c>
      <c r="W36" s="50" t="e">
        <f t="shared" si="14"/>
        <v>#REF!</v>
      </c>
      <c r="X36" s="50" t="e">
        <f t="shared" si="14"/>
        <v>#REF!</v>
      </c>
      <c r="Y36" s="50" t="e">
        <f t="shared" si="14"/>
        <v>#REF!</v>
      </c>
      <c r="Z36" s="50" t="e">
        <f t="shared" si="14"/>
        <v>#REF!</v>
      </c>
      <c r="AA36" s="50" t="e">
        <f t="shared" si="14"/>
        <v>#REF!</v>
      </c>
      <c r="AB36" s="50" t="e">
        <f>AB$29*$D$36</f>
        <v>#REF!</v>
      </c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Q36" s="27" t="e">
        <f t="shared" si="10"/>
        <v>#REF!</v>
      </c>
      <c r="AR36" s="77" t="e">
        <f>AVERAGE(H36:AA36)</f>
        <v>#REF!</v>
      </c>
      <c r="AS36" s="22" t="s">
        <v>39</v>
      </c>
    </row>
    <row r="37" spans="1:45" s="1" customFormat="1">
      <c r="B37" s="51"/>
      <c r="C37" s="73" t="s">
        <v>40</v>
      </c>
      <c r="D37" s="53">
        <v>0</v>
      </c>
      <c r="E37" s="22" t="s">
        <v>37</v>
      </c>
      <c r="F37" s="50">
        <v>0</v>
      </c>
      <c r="G37" s="50">
        <v>0</v>
      </c>
      <c r="H37" s="50" t="e">
        <f>H$29*$D$37</f>
        <v>#REF!</v>
      </c>
      <c r="I37" s="50" t="e">
        <f>I$29*$D$37</f>
        <v>#REF!</v>
      </c>
      <c r="J37" s="50" t="e">
        <f t="shared" ref="J37:AA37" si="15">J$29*$D$37</f>
        <v>#REF!</v>
      </c>
      <c r="K37" s="50" t="e">
        <f t="shared" si="15"/>
        <v>#REF!</v>
      </c>
      <c r="L37" s="50" t="e">
        <f t="shared" si="15"/>
        <v>#REF!</v>
      </c>
      <c r="M37" s="50" t="e">
        <f t="shared" si="15"/>
        <v>#REF!</v>
      </c>
      <c r="N37" s="50" t="e">
        <f t="shared" si="15"/>
        <v>#REF!</v>
      </c>
      <c r="O37" s="50" t="e">
        <f t="shared" si="15"/>
        <v>#REF!</v>
      </c>
      <c r="P37" s="50" t="e">
        <f t="shared" si="15"/>
        <v>#REF!</v>
      </c>
      <c r="Q37" s="50" t="e">
        <f t="shared" si="15"/>
        <v>#REF!</v>
      </c>
      <c r="R37" s="50" t="e">
        <f t="shared" si="15"/>
        <v>#REF!</v>
      </c>
      <c r="S37" s="50" t="e">
        <f t="shared" si="15"/>
        <v>#REF!</v>
      </c>
      <c r="T37" s="50" t="e">
        <f t="shared" si="15"/>
        <v>#REF!</v>
      </c>
      <c r="U37" s="50" t="e">
        <f t="shared" si="15"/>
        <v>#REF!</v>
      </c>
      <c r="V37" s="50" t="e">
        <f t="shared" si="15"/>
        <v>#REF!</v>
      </c>
      <c r="W37" s="50" t="e">
        <f t="shared" si="15"/>
        <v>#REF!</v>
      </c>
      <c r="X37" s="50" t="e">
        <f t="shared" si="15"/>
        <v>#REF!</v>
      </c>
      <c r="Y37" s="50" t="e">
        <f t="shared" si="15"/>
        <v>#REF!</v>
      </c>
      <c r="Z37" s="50" t="e">
        <f t="shared" si="15"/>
        <v>#REF!</v>
      </c>
      <c r="AA37" s="50" t="e">
        <f t="shared" si="15"/>
        <v>#REF!</v>
      </c>
      <c r="AB37" s="50" t="e">
        <f>AB$29*$D$37</f>
        <v>#REF!</v>
      </c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Q37" s="27" t="e">
        <f t="shared" si="10"/>
        <v>#REF!</v>
      </c>
      <c r="AR37" s="77" t="e">
        <f>AVERAGE(H37:AA37)</f>
        <v>#REF!</v>
      </c>
      <c r="AS37" s="22" t="s">
        <v>40</v>
      </c>
    </row>
    <row r="38" spans="1:45" s="1" customFormat="1">
      <c r="B38" s="51"/>
      <c r="C38" s="73" t="s">
        <v>11</v>
      </c>
      <c r="D38" s="53">
        <v>0</v>
      </c>
      <c r="E38" s="22" t="s">
        <v>37</v>
      </c>
      <c r="F38" s="50">
        <v>0</v>
      </c>
      <c r="G38" s="50">
        <v>0</v>
      </c>
      <c r="H38" s="50" t="e">
        <f>H$29*$D$38</f>
        <v>#REF!</v>
      </c>
      <c r="I38" s="50" t="e">
        <f>I$29*$D$38</f>
        <v>#REF!</v>
      </c>
      <c r="J38" s="50" t="e">
        <f t="shared" ref="J38:AA38" si="16">J$29*$D$38</f>
        <v>#REF!</v>
      </c>
      <c r="K38" s="50" t="e">
        <f t="shared" si="16"/>
        <v>#REF!</v>
      </c>
      <c r="L38" s="50" t="e">
        <f t="shared" si="16"/>
        <v>#REF!</v>
      </c>
      <c r="M38" s="50" t="e">
        <f t="shared" si="16"/>
        <v>#REF!</v>
      </c>
      <c r="N38" s="50" t="e">
        <f t="shared" si="16"/>
        <v>#REF!</v>
      </c>
      <c r="O38" s="50" t="e">
        <f t="shared" si="16"/>
        <v>#REF!</v>
      </c>
      <c r="P38" s="50" t="e">
        <f t="shared" si="16"/>
        <v>#REF!</v>
      </c>
      <c r="Q38" s="50" t="e">
        <f t="shared" si="16"/>
        <v>#REF!</v>
      </c>
      <c r="R38" s="50" t="e">
        <f t="shared" si="16"/>
        <v>#REF!</v>
      </c>
      <c r="S38" s="50" t="e">
        <f t="shared" si="16"/>
        <v>#REF!</v>
      </c>
      <c r="T38" s="50" t="e">
        <f t="shared" si="16"/>
        <v>#REF!</v>
      </c>
      <c r="U38" s="50" t="e">
        <f t="shared" si="16"/>
        <v>#REF!</v>
      </c>
      <c r="V38" s="50" t="e">
        <f t="shared" si="16"/>
        <v>#REF!</v>
      </c>
      <c r="W38" s="50" t="e">
        <f t="shared" si="16"/>
        <v>#REF!</v>
      </c>
      <c r="X38" s="50" t="e">
        <f t="shared" si="16"/>
        <v>#REF!</v>
      </c>
      <c r="Y38" s="50" t="e">
        <f t="shared" si="16"/>
        <v>#REF!</v>
      </c>
      <c r="Z38" s="50" t="e">
        <f t="shared" si="16"/>
        <v>#REF!</v>
      </c>
      <c r="AA38" s="50" t="e">
        <f t="shared" si="16"/>
        <v>#REF!</v>
      </c>
      <c r="AB38" s="50" t="e">
        <f>AB$29*$D$38</f>
        <v>#REF!</v>
      </c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Q38" s="27" t="e">
        <f t="shared" si="10"/>
        <v>#REF!</v>
      </c>
      <c r="AR38" s="77" t="e">
        <f>AVERAGE(H38:AA38)</f>
        <v>#REF!</v>
      </c>
      <c r="AS38" s="22" t="s">
        <v>11</v>
      </c>
    </row>
    <row r="39" spans="1:45" s="1" customFormat="1" ht="5.0999999999999996" customHeight="1"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Q39" s="32"/>
      <c r="AR39" s="32"/>
    </row>
    <row r="40" spans="1:45" s="1" customFormat="1">
      <c r="C40" s="21" t="s">
        <v>41</v>
      </c>
      <c r="D40" s="54">
        <v>0</v>
      </c>
      <c r="E40" s="21" t="s">
        <v>37</v>
      </c>
      <c r="F40" s="48">
        <v>0</v>
      </c>
      <c r="G40" s="48">
        <v>0</v>
      </c>
      <c r="H40" s="48" t="e">
        <f>H29*$D$40</f>
        <v>#REF!</v>
      </c>
      <c r="I40" s="48" t="e">
        <f>I29*$D$40</f>
        <v>#REF!</v>
      </c>
      <c r="J40" s="48" t="e">
        <f>J29*$D$40</f>
        <v>#REF!</v>
      </c>
      <c r="K40" s="48" t="e">
        <f t="shared" ref="K40:R40" si="17">K29*$D$40</f>
        <v>#REF!</v>
      </c>
      <c r="L40" s="48" t="e">
        <f t="shared" si="17"/>
        <v>#REF!</v>
      </c>
      <c r="M40" s="48" t="e">
        <f t="shared" si="17"/>
        <v>#REF!</v>
      </c>
      <c r="N40" s="48" t="e">
        <f t="shared" si="17"/>
        <v>#REF!</v>
      </c>
      <c r="O40" s="48" t="e">
        <f t="shared" si="17"/>
        <v>#REF!</v>
      </c>
      <c r="P40" s="48" t="e">
        <f t="shared" si="17"/>
        <v>#REF!</v>
      </c>
      <c r="Q40" s="48" t="e">
        <f t="shared" si="17"/>
        <v>#REF!</v>
      </c>
      <c r="R40" s="48" t="e">
        <f t="shared" si="17"/>
        <v>#REF!</v>
      </c>
      <c r="S40" s="48" t="e">
        <f>S29*$D$40</f>
        <v>#REF!</v>
      </c>
      <c r="T40" s="48" t="e">
        <f>T29*$D$40</f>
        <v>#REF!</v>
      </c>
      <c r="U40" s="48" t="e">
        <f t="shared" ref="U40:AB40" si="18">U29*$D$40</f>
        <v>#REF!</v>
      </c>
      <c r="V40" s="48" t="e">
        <f t="shared" si="18"/>
        <v>#REF!</v>
      </c>
      <c r="W40" s="48" t="e">
        <f t="shared" si="18"/>
        <v>#REF!</v>
      </c>
      <c r="X40" s="48" t="e">
        <f t="shared" si="18"/>
        <v>#REF!</v>
      </c>
      <c r="Y40" s="48" t="e">
        <f t="shared" si="18"/>
        <v>#REF!</v>
      </c>
      <c r="Z40" s="48" t="e">
        <f t="shared" si="18"/>
        <v>#REF!</v>
      </c>
      <c r="AA40" s="48" t="e">
        <f t="shared" si="18"/>
        <v>#REF!</v>
      </c>
      <c r="AB40" s="48" t="e">
        <f t="shared" si="18"/>
        <v>#REF!</v>
      </c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Q40" s="27" t="e">
        <f>SUM(H40:AA40)</f>
        <v>#REF!</v>
      </c>
      <c r="AR40" s="77" t="e">
        <f>AVERAGE(H40:AA40)</f>
        <v>#REF!</v>
      </c>
    </row>
    <row r="41" spans="1:45" s="1" customFormat="1" ht="5.0999999999999996" customHeight="1">
      <c r="E41" s="2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Q41" s="32"/>
      <c r="AR41" s="32"/>
    </row>
    <row r="42" spans="1:45">
      <c r="B42" s="22">
        <v>56.25</v>
      </c>
      <c r="C42" s="21" t="s">
        <v>42</v>
      </c>
      <c r="D42" s="54">
        <f>1-D34-D40-D44</f>
        <v>1</v>
      </c>
      <c r="E42" s="21" t="s">
        <v>37</v>
      </c>
      <c r="F42" s="48">
        <v>0</v>
      </c>
      <c r="G42" s="48">
        <v>0</v>
      </c>
      <c r="H42" s="48" t="e">
        <f>H11*$D$42</f>
        <v>#REF!</v>
      </c>
      <c r="I42" s="48" t="e">
        <f>I11*$D$42</f>
        <v>#REF!</v>
      </c>
      <c r="J42" s="48" t="e">
        <f t="shared" ref="J42:AB42" si="19">J11*$D$42</f>
        <v>#REF!</v>
      </c>
      <c r="K42" s="48" t="e">
        <f t="shared" si="19"/>
        <v>#REF!</v>
      </c>
      <c r="L42" s="48" t="e">
        <f t="shared" si="19"/>
        <v>#REF!</v>
      </c>
      <c r="M42" s="48" t="e">
        <f t="shared" si="19"/>
        <v>#REF!</v>
      </c>
      <c r="N42" s="48" t="e">
        <f t="shared" si="19"/>
        <v>#REF!</v>
      </c>
      <c r="O42" s="48" t="e">
        <f t="shared" si="19"/>
        <v>#REF!</v>
      </c>
      <c r="P42" s="48" t="e">
        <f t="shared" si="19"/>
        <v>#REF!</v>
      </c>
      <c r="Q42" s="48" t="e">
        <f t="shared" si="19"/>
        <v>#REF!</v>
      </c>
      <c r="R42" s="48" t="e">
        <f t="shared" si="19"/>
        <v>#REF!</v>
      </c>
      <c r="S42" s="48" t="e">
        <f t="shared" si="19"/>
        <v>#REF!</v>
      </c>
      <c r="T42" s="48" t="e">
        <f t="shared" si="19"/>
        <v>#REF!</v>
      </c>
      <c r="U42" s="48" t="e">
        <f t="shared" si="19"/>
        <v>#REF!</v>
      </c>
      <c r="V42" s="48" t="e">
        <f t="shared" si="19"/>
        <v>#REF!</v>
      </c>
      <c r="W42" s="48" t="e">
        <f t="shared" si="19"/>
        <v>#REF!</v>
      </c>
      <c r="X42" s="48" t="e">
        <f t="shared" si="19"/>
        <v>#REF!</v>
      </c>
      <c r="Y42" s="48" t="e">
        <f t="shared" si="19"/>
        <v>#REF!</v>
      </c>
      <c r="Z42" s="48" t="e">
        <f t="shared" si="19"/>
        <v>#REF!</v>
      </c>
      <c r="AA42" s="48" t="e">
        <f t="shared" si="19"/>
        <v>#REF!</v>
      </c>
      <c r="AB42" s="48" t="e">
        <f t="shared" si="19"/>
        <v>#REF!</v>
      </c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Q42" s="27" t="e">
        <f>SUM(H42:AA42)</f>
        <v>#REF!</v>
      </c>
      <c r="AR42" s="77" t="e">
        <f>AVERAGE(H42:AA42)</f>
        <v>#REF!</v>
      </c>
    </row>
    <row r="43" spans="1:45" ht="5.0999999999999996" customHeight="1">
      <c r="E43" s="2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Q43" s="32"/>
      <c r="AR43" s="32"/>
    </row>
    <row r="44" spans="1:45">
      <c r="C44" s="21" t="s">
        <v>43</v>
      </c>
      <c r="D44" s="43">
        <v>0</v>
      </c>
      <c r="E44" s="21" t="s">
        <v>37</v>
      </c>
      <c r="F44" s="48">
        <v>0</v>
      </c>
      <c r="G44" s="48">
        <v>0</v>
      </c>
      <c r="H44" s="48" t="e">
        <f>H29*$D$44</f>
        <v>#REF!</v>
      </c>
      <c r="I44" s="48" t="e">
        <f>I29*$D$44</f>
        <v>#REF!</v>
      </c>
      <c r="J44" s="48" t="e">
        <f t="shared" ref="J44:AA44" si="20">J29*$D$44</f>
        <v>#REF!</v>
      </c>
      <c r="K44" s="48" t="e">
        <f t="shared" si="20"/>
        <v>#REF!</v>
      </c>
      <c r="L44" s="48" t="e">
        <f t="shared" si="20"/>
        <v>#REF!</v>
      </c>
      <c r="M44" s="48" t="e">
        <f t="shared" si="20"/>
        <v>#REF!</v>
      </c>
      <c r="N44" s="48" t="e">
        <f t="shared" si="20"/>
        <v>#REF!</v>
      </c>
      <c r="O44" s="48" t="e">
        <f t="shared" si="20"/>
        <v>#REF!</v>
      </c>
      <c r="P44" s="48" t="e">
        <f t="shared" si="20"/>
        <v>#REF!</v>
      </c>
      <c r="Q44" s="48" t="e">
        <f t="shared" si="20"/>
        <v>#REF!</v>
      </c>
      <c r="R44" s="48" t="e">
        <f t="shared" si="20"/>
        <v>#REF!</v>
      </c>
      <c r="S44" s="48" t="e">
        <f t="shared" si="20"/>
        <v>#REF!</v>
      </c>
      <c r="T44" s="48" t="e">
        <f t="shared" si="20"/>
        <v>#REF!</v>
      </c>
      <c r="U44" s="48" t="e">
        <f t="shared" si="20"/>
        <v>#REF!</v>
      </c>
      <c r="V44" s="48" t="e">
        <f t="shared" si="20"/>
        <v>#REF!</v>
      </c>
      <c r="W44" s="48" t="e">
        <f t="shared" si="20"/>
        <v>#REF!</v>
      </c>
      <c r="X44" s="48" t="e">
        <f t="shared" si="20"/>
        <v>#REF!</v>
      </c>
      <c r="Y44" s="48" t="e">
        <f t="shared" si="20"/>
        <v>#REF!</v>
      </c>
      <c r="Z44" s="48" t="e">
        <f t="shared" si="20"/>
        <v>#REF!</v>
      </c>
      <c r="AA44" s="48" t="e">
        <f t="shared" si="20"/>
        <v>#REF!</v>
      </c>
      <c r="AB44" s="48" t="e">
        <f>AB29*$D$44</f>
        <v>#REF!</v>
      </c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Q44" s="27" t="e">
        <f>SUM(H44:AA44)</f>
        <v>#REF!</v>
      </c>
      <c r="AR44" s="77" t="e">
        <f>AVERAGE(H44:AA44)</f>
        <v>#REF!</v>
      </c>
    </row>
    <row r="45" spans="1:45" ht="5.0999999999999996" customHeight="1"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Q45" s="32"/>
      <c r="AR45" s="32"/>
    </row>
    <row r="46" spans="1:45" hidden="1">
      <c r="C46" s="21" t="s">
        <v>44</v>
      </c>
      <c r="D46" s="55"/>
      <c r="E46" s="21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Q46" s="48"/>
      <c r="AR46" s="49">
        <v>0</v>
      </c>
    </row>
    <row r="47" spans="1:45" hidden="1">
      <c r="A47" s="21"/>
      <c r="C47" s="24" t="s">
        <v>45</v>
      </c>
      <c r="D47" s="55"/>
      <c r="E47" s="21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Q47" s="48"/>
      <c r="AR47" s="49"/>
    </row>
    <row r="48" spans="1:45" hidden="1">
      <c r="A48" s="56" t="s">
        <v>46</v>
      </c>
      <c r="B48" s="57"/>
      <c r="C48" s="58" t="s">
        <v>47</v>
      </c>
      <c r="D48" s="59">
        <v>11520</v>
      </c>
      <c r="E48" s="56" t="s">
        <v>7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Q48" s="48"/>
      <c r="AR48" s="49"/>
    </row>
    <row r="49" spans="1:45" hidden="1">
      <c r="A49" s="21"/>
      <c r="C49" s="24" t="s">
        <v>48</v>
      </c>
      <c r="D49" s="60"/>
      <c r="E49" s="21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Q49" s="50"/>
      <c r="AR49" s="49"/>
    </row>
    <row r="50" spans="1:45" hidden="1">
      <c r="A50" s="21"/>
      <c r="C50" s="24" t="s">
        <v>49</v>
      </c>
      <c r="D50" s="49"/>
      <c r="E50" s="21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Q50" s="50"/>
      <c r="AR50" s="49"/>
    </row>
    <row r="51" spans="1:45" hidden="1">
      <c r="A51" s="21"/>
      <c r="C51" s="24" t="s">
        <v>50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Q51" s="45"/>
      <c r="AR51" s="45" t="e">
        <v>#DIV/0!</v>
      </c>
      <c r="AS51" s="46" t="e">
        <v>#DIV/0!</v>
      </c>
    </row>
    <row r="52" spans="1:45" hidden="1">
      <c r="A52" s="21" t="s">
        <v>51</v>
      </c>
      <c r="C52" s="24" t="s">
        <v>52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Q52" s="45"/>
      <c r="AR52" s="45">
        <v>0</v>
      </c>
    </row>
    <row r="53" spans="1:45" hidden="1"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Q53" s="32"/>
      <c r="AR53" s="32"/>
    </row>
    <row r="54" spans="1:45" hidden="1">
      <c r="A54" s="21"/>
      <c r="C54" s="24" t="s">
        <v>53</v>
      </c>
      <c r="D54" s="55"/>
      <c r="E54" s="21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Q54" s="50"/>
      <c r="AR54" s="49"/>
    </row>
    <row r="55" spans="1:45" hidden="1">
      <c r="A55" s="21" t="s">
        <v>54</v>
      </c>
      <c r="C55" s="24" t="s">
        <v>55</v>
      </c>
      <c r="D55" s="49"/>
      <c r="E55" s="2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Q55" s="50"/>
      <c r="AR55" s="49"/>
    </row>
    <row r="56" spans="1:45" hidden="1"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Q56" s="32"/>
      <c r="AR56" s="32"/>
    </row>
    <row r="57" spans="1:45" hidden="1">
      <c r="A57" s="21"/>
      <c r="C57" s="24" t="s">
        <v>56</v>
      </c>
      <c r="D57" s="55"/>
      <c r="E57" s="21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Q57" s="50"/>
      <c r="AR57" s="49"/>
    </row>
    <row r="58" spans="1:45" hidden="1">
      <c r="A58" s="21" t="s">
        <v>57</v>
      </c>
      <c r="C58" s="24" t="s">
        <v>58</v>
      </c>
      <c r="D58" s="49"/>
      <c r="E58" s="21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Q58" s="50"/>
      <c r="AR58" s="49"/>
    </row>
    <row r="59" spans="1:45" hidden="1"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Q59" s="32"/>
      <c r="AR59" s="32"/>
    </row>
    <row r="60" spans="1:45" hidden="1">
      <c r="B60" s="51"/>
      <c r="C60" s="52" t="s">
        <v>11</v>
      </c>
      <c r="D60" s="55"/>
      <c r="E60" s="21" t="s">
        <v>37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Q60" s="48"/>
      <c r="AR60" s="49">
        <v>0</v>
      </c>
      <c r="AS60" s="61"/>
    </row>
    <row r="61" spans="1:45" hidden="1">
      <c r="B61" s="51"/>
      <c r="C61" s="24" t="s">
        <v>59</v>
      </c>
      <c r="D61" s="53"/>
      <c r="E61" s="22" t="s">
        <v>37</v>
      </c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Q61" s="50"/>
      <c r="AR61" s="45">
        <v>0</v>
      </c>
    </row>
    <row r="62" spans="1:45" hidden="1">
      <c r="B62" s="51"/>
      <c r="C62" s="24" t="s">
        <v>60</v>
      </c>
      <c r="D62" s="53">
        <v>0.8</v>
      </c>
      <c r="E62" s="22" t="s">
        <v>37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Q62" s="50"/>
      <c r="AR62" s="45">
        <v>0</v>
      </c>
    </row>
    <row r="63" spans="1:45" hidden="1">
      <c r="B63" s="51"/>
      <c r="C63" s="24" t="s">
        <v>60</v>
      </c>
      <c r="D63" s="53">
        <v>0.8</v>
      </c>
      <c r="E63" s="22" t="s">
        <v>37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Q63" s="50"/>
      <c r="AR63" s="45"/>
    </row>
    <row r="64" spans="1:45" hidden="1">
      <c r="B64" s="51"/>
      <c r="C64" s="24" t="s">
        <v>61</v>
      </c>
      <c r="D64" s="53">
        <v>0.7</v>
      </c>
      <c r="E64" s="22" t="s">
        <v>37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Q64" s="50"/>
      <c r="AR64" s="45">
        <v>0</v>
      </c>
    </row>
    <row r="65" spans="2:45" hidden="1">
      <c r="B65" s="51"/>
      <c r="C65" s="24" t="s">
        <v>62</v>
      </c>
      <c r="D65" s="53"/>
      <c r="E65" s="22" t="s">
        <v>37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Q65" s="50"/>
      <c r="AR65" s="45">
        <v>0</v>
      </c>
    </row>
    <row r="66" spans="2:45" hidden="1">
      <c r="B66" s="51"/>
      <c r="C66" s="24" t="s">
        <v>63</v>
      </c>
      <c r="D66" s="53">
        <v>0.5</v>
      </c>
      <c r="E66" s="22" t="s">
        <v>37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Q66" s="50"/>
      <c r="AR66" s="45">
        <v>0</v>
      </c>
    </row>
    <row r="67" spans="2:45" hidden="1">
      <c r="B67" s="51"/>
      <c r="C67" s="24" t="s">
        <v>64</v>
      </c>
      <c r="D67" s="53"/>
      <c r="E67" s="22" t="s">
        <v>37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Q67" s="50"/>
      <c r="AR67" s="45">
        <v>0</v>
      </c>
    </row>
    <row r="68" spans="2:45" hidden="1"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Q68" s="32"/>
      <c r="AR68" s="32"/>
    </row>
    <row r="69" spans="2:45" hidden="1"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Q69" s="32"/>
      <c r="AR69" s="32"/>
    </row>
    <row r="70" spans="2:45">
      <c r="B70" s="39"/>
      <c r="C70" s="34" t="s">
        <v>65</v>
      </c>
      <c r="D70" s="38"/>
      <c r="E70" s="36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Q70" s="37"/>
      <c r="AR70" s="37"/>
      <c r="AS70" s="39"/>
    </row>
    <row r="71" spans="2:45" ht="5.0999999999999996" customHeight="1"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Q71" s="32"/>
      <c r="AR71" s="32"/>
    </row>
    <row r="72" spans="2:45" s="7" customFormat="1">
      <c r="B72" s="87" t="s">
        <v>66</v>
      </c>
      <c r="C72" s="88" t="s">
        <v>67</v>
      </c>
      <c r="E72" s="85" t="s">
        <v>7</v>
      </c>
      <c r="F72" s="86">
        <f>F32</f>
        <v>0</v>
      </c>
      <c r="G72" s="86">
        <f t="shared" ref="G72:AB72" si="21">G32</f>
        <v>0</v>
      </c>
      <c r="H72" s="86" t="e">
        <f t="shared" si="21"/>
        <v>#REF!</v>
      </c>
      <c r="I72" s="86" t="e">
        <f>I32</f>
        <v>#REF!</v>
      </c>
      <c r="J72" s="86" t="e">
        <f t="shared" si="21"/>
        <v>#REF!</v>
      </c>
      <c r="K72" s="86" t="e">
        <f t="shared" si="21"/>
        <v>#REF!</v>
      </c>
      <c r="L72" s="86" t="e">
        <f t="shared" si="21"/>
        <v>#REF!</v>
      </c>
      <c r="M72" s="86" t="e">
        <f t="shared" si="21"/>
        <v>#REF!</v>
      </c>
      <c r="N72" s="86" t="e">
        <f t="shared" si="21"/>
        <v>#REF!</v>
      </c>
      <c r="O72" s="86" t="e">
        <f>O32</f>
        <v>#REF!</v>
      </c>
      <c r="P72" s="86" t="e">
        <f>P32</f>
        <v>#REF!</v>
      </c>
      <c r="Q72" s="86" t="e">
        <f t="shared" si="21"/>
        <v>#REF!</v>
      </c>
      <c r="R72" s="86" t="e">
        <f t="shared" si="21"/>
        <v>#REF!</v>
      </c>
      <c r="S72" s="86" t="e">
        <f t="shared" si="21"/>
        <v>#REF!</v>
      </c>
      <c r="T72" s="86" t="e">
        <f t="shared" si="21"/>
        <v>#REF!</v>
      </c>
      <c r="U72" s="86" t="e">
        <f t="shared" si="21"/>
        <v>#REF!</v>
      </c>
      <c r="V72" s="86" t="e">
        <f t="shared" si="21"/>
        <v>#REF!</v>
      </c>
      <c r="W72" s="86" t="e">
        <f t="shared" si="21"/>
        <v>#REF!</v>
      </c>
      <c r="X72" s="86" t="e">
        <f t="shared" si="21"/>
        <v>#REF!</v>
      </c>
      <c r="Y72" s="86" t="e">
        <f t="shared" si="21"/>
        <v>#REF!</v>
      </c>
      <c r="Z72" s="86" t="e">
        <f t="shared" si="21"/>
        <v>#REF!</v>
      </c>
      <c r="AA72" s="86" t="e">
        <f t="shared" si="21"/>
        <v>#REF!</v>
      </c>
      <c r="AB72" s="86" t="e">
        <f t="shared" si="21"/>
        <v>#REF!</v>
      </c>
      <c r="AC72" s="86">
        <v>0</v>
      </c>
      <c r="AD72" s="86">
        <v>0</v>
      </c>
      <c r="AE72" s="86">
        <v>0</v>
      </c>
      <c r="AF72" s="86">
        <v>0</v>
      </c>
      <c r="AG72" s="86">
        <v>0</v>
      </c>
      <c r="AH72" s="86">
        <v>0</v>
      </c>
      <c r="AI72" s="86">
        <v>0</v>
      </c>
      <c r="AJ72" s="86">
        <v>0</v>
      </c>
      <c r="AK72" s="86">
        <v>0</v>
      </c>
      <c r="AL72" s="86">
        <v>0</v>
      </c>
      <c r="AM72" s="86">
        <v>0</v>
      </c>
      <c r="AN72" s="86">
        <v>0</v>
      </c>
      <c r="AO72" s="86">
        <v>0</v>
      </c>
      <c r="AQ72" s="78" t="e">
        <f>SUM(H72:AA72)</f>
        <v>#REF!</v>
      </c>
      <c r="AR72" s="79" t="e">
        <f>AVERAGE(H72:AA72)</f>
        <v>#REF!</v>
      </c>
      <c r="AS72" s="89" t="e">
        <f>AQ72/AQ76</f>
        <v>#REF!</v>
      </c>
    </row>
    <row r="73" spans="2:45" ht="5.0999999999999996" customHeight="1">
      <c r="B73" s="28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Q73" s="45"/>
      <c r="AR73" s="32"/>
      <c r="AS73" s="6"/>
    </row>
    <row r="74" spans="2:45">
      <c r="B74" s="28" t="s">
        <v>66</v>
      </c>
      <c r="C74" s="40" t="s">
        <v>68</v>
      </c>
      <c r="E74" s="21" t="s">
        <v>7</v>
      </c>
      <c r="F74" s="45">
        <f>F42</f>
        <v>0</v>
      </c>
      <c r="G74" s="45">
        <f t="shared" ref="G74:AB74" si="22">G42</f>
        <v>0</v>
      </c>
      <c r="H74" s="45" t="e">
        <f t="shared" si="22"/>
        <v>#REF!</v>
      </c>
      <c r="I74" s="45" t="e">
        <f>I42</f>
        <v>#REF!</v>
      </c>
      <c r="J74" s="45" t="e">
        <f t="shared" si="22"/>
        <v>#REF!</v>
      </c>
      <c r="K74" s="45" t="e">
        <f t="shared" si="22"/>
        <v>#REF!</v>
      </c>
      <c r="L74" s="45" t="e">
        <f t="shared" si="22"/>
        <v>#REF!</v>
      </c>
      <c r="M74" s="45" t="e">
        <f t="shared" si="22"/>
        <v>#REF!</v>
      </c>
      <c r="N74" s="45" t="e">
        <f t="shared" si="22"/>
        <v>#REF!</v>
      </c>
      <c r="O74" s="45" t="e">
        <f t="shared" si="22"/>
        <v>#REF!</v>
      </c>
      <c r="P74" s="45" t="e">
        <f t="shared" si="22"/>
        <v>#REF!</v>
      </c>
      <c r="Q74" s="45" t="e">
        <f t="shared" si="22"/>
        <v>#REF!</v>
      </c>
      <c r="R74" s="45" t="e">
        <f t="shared" si="22"/>
        <v>#REF!</v>
      </c>
      <c r="S74" s="45" t="e">
        <f t="shared" si="22"/>
        <v>#REF!</v>
      </c>
      <c r="T74" s="45" t="e">
        <f t="shared" si="22"/>
        <v>#REF!</v>
      </c>
      <c r="U74" s="45" t="e">
        <f t="shared" si="22"/>
        <v>#REF!</v>
      </c>
      <c r="V74" s="45" t="e">
        <f t="shared" si="22"/>
        <v>#REF!</v>
      </c>
      <c r="W74" s="45" t="e">
        <f>W42</f>
        <v>#REF!</v>
      </c>
      <c r="X74" s="45" t="e">
        <f t="shared" si="22"/>
        <v>#REF!</v>
      </c>
      <c r="Y74" s="45" t="e">
        <f t="shared" si="22"/>
        <v>#REF!</v>
      </c>
      <c r="Z74" s="45" t="e">
        <f t="shared" si="22"/>
        <v>#REF!</v>
      </c>
      <c r="AA74" s="45" t="e">
        <f t="shared" si="22"/>
        <v>#REF!</v>
      </c>
      <c r="AB74" s="45" t="e">
        <f t="shared" si="22"/>
        <v>#REF!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  <c r="AK74" s="45">
        <v>0</v>
      </c>
      <c r="AL74" s="45">
        <v>0</v>
      </c>
      <c r="AM74" s="45">
        <v>0</v>
      </c>
      <c r="AN74" s="45">
        <v>0</v>
      </c>
      <c r="AO74" s="45">
        <v>0</v>
      </c>
      <c r="AQ74" s="27" t="e">
        <f>SUM(H74:AA74)</f>
        <v>#REF!</v>
      </c>
      <c r="AR74" s="77" t="e">
        <f>AVERAGE(H74:AA74)</f>
        <v>#REF!</v>
      </c>
      <c r="AS74" s="62" t="e">
        <f>AQ74/AQ76</f>
        <v>#REF!</v>
      </c>
    </row>
    <row r="75" spans="2:45" ht="5.0999999999999996" customHeight="1">
      <c r="B75" s="28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Q75" s="45"/>
      <c r="AR75" s="32"/>
    </row>
    <row r="76" spans="2:45" ht="15" customHeight="1">
      <c r="B76" s="28" t="s">
        <v>66</v>
      </c>
      <c r="C76" s="63" t="s">
        <v>101</v>
      </c>
      <c r="E76" s="21" t="s">
        <v>7</v>
      </c>
      <c r="F76" s="49">
        <f>SUM(F72:F75)</f>
        <v>0</v>
      </c>
      <c r="G76" s="49">
        <f t="shared" ref="G76:AO76" si="23">SUM(G72:G75)</f>
        <v>0</v>
      </c>
      <c r="H76" s="49" t="e">
        <f t="shared" si="23"/>
        <v>#REF!</v>
      </c>
      <c r="I76" s="49" t="e">
        <f>SUM(I72:I75)</f>
        <v>#REF!</v>
      </c>
      <c r="J76" s="49" t="e">
        <f t="shared" si="23"/>
        <v>#REF!</v>
      </c>
      <c r="K76" s="49" t="e">
        <f t="shared" si="23"/>
        <v>#REF!</v>
      </c>
      <c r="L76" s="49" t="e">
        <f t="shared" si="23"/>
        <v>#REF!</v>
      </c>
      <c r="M76" s="49" t="e">
        <f t="shared" si="23"/>
        <v>#REF!</v>
      </c>
      <c r="N76" s="49" t="e">
        <f t="shared" si="23"/>
        <v>#REF!</v>
      </c>
      <c r="O76" s="49" t="e">
        <f t="shared" si="23"/>
        <v>#REF!</v>
      </c>
      <c r="P76" s="49" t="e">
        <f t="shared" si="23"/>
        <v>#REF!</v>
      </c>
      <c r="Q76" s="49" t="e">
        <f t="shared" si="23"/>
        <v>#REF!</v>
      </c>
      <c r="R76" s="49" t="e">
        <f t="shared" si="23"/>
        <v>#REF!</v>
      </c>
      <c r="S76" s="49" t="e">
        <f t="shared" si="23"/>
        <v>#REF!</v>
      </c>
      <c r="T76" s="49" t="e">
        <f t="shared" si="23"/>
        <v>#REF!</v>
      </c>
      <c r="U76" s="49" t="e">
        <f t="shared" si="23"/>
        <v>#REF!</v>
      </c>
      <c r="V76" s="49" t="e">
        <f t="shared" si="23"/>
        <v>#REF!</v>
      </c>
      <c r="W76" s="49" t="e">
        <f t="shared" si="23"/>
        <v>#REF!</v>
      </c>
      <c r="X76" s="49" t="e">
        <f t="shared" si="23"/>
        <v>#REF!</v>
      </c>
      <c r="Y76" s="49" t="e">
        <f t="shared" si="23"/>
        <v>#REF!</v>
      </c>
      <c r="Z76" s="49" t="e">
        <f t="shared" si="23"/>
        <v>#REF!</v>
      </c>
      <c r="AA76" s="49" t="e">
        <f t="shared" si="23"/>
        <v>#REF!</v>
      </c>
      <c r="AB76" s="49" t="e">
        <f t="shared" si="23"/>
        <v>#REF!</v>
      </c>
      <c r="AC76" s="49">
        <f t="shared" si="23"/>
        <v>0</v>
      </c>
      <c r="AD76" s="49">
        <f t="shared" si="23"/>
        <v>0</v>
      </c>
      <c r="AE76" s="49">
        <f t="shared" si="23"/>
        <v>0</v>
      </c>
      <c r="AF76" s="49">
        <f t="shared" si="23"/>
        <v>0</v>
      </c>
      <c r="AG76" s="49">
        <f t="shared" si="23"/>
        <v>0</v>
      </c>
      <c r="AH76" s="49">
        <f t="shared" si="23"/>
        <v>0</v>
      </c>
      <c r="AI76" s="49">
        <f t="shared" si="23"/>
        <v>0</v>
      </c>
      <c r="AJ76" s="49">
        <f t="shared" si="23"/>
        <v>0</v>
      </c>
      <c r="AK76" s="49">
        <f t="shared" si="23"/>
        <v>0</v>
      </c>
      <c r="AL76" s="49">
        <f t="shared" si="23"/>
        <v>0</v>
      </c>
      <c r="AM76" s="49">
        <f t="shared" si="23"/>
        <v>0</v>
      </c>
      <c r="AN76" s="49">
        <f t="shared" si="23"/>
        <v>0</v>
      </c>
      <c r="AO76" s="49">
        <f t="shared" si="23"/>
        <v>0</v>
      </c>
      <c r="AQ76" s="27" t="e">
        <f>SUM(H76:AA76)</f>
        <v>#REF!</v>
      </c>
      <c r="AR76" s="77" t="e">
        <f>AVERAGE(H76:AA76)</f>
        <v>#REF!</v>
      </c>
    </row>
    <row r="77" spans="2:45" ht="15" customHeight="1">
      <c r="C77" s="63"/>
      <c r="E77" s="21" t="s">
        <v>69</v>
      </c>
      <c r="F77" s="49" t="e">
        <f>F76/12/#REF!</f>
        <v>#REF!</v>
      </c>
      <c r="G77" s="49" t="e">
        <f>G76/12/#REF!</f>
        <v>#REF!</v>
      </c>
      <c r="H77" s="49" t="e">
        <f>H76/12/#REF!</f>
        <v>#REF!</v>
      </c>
      <c r="I77" s="49" t="e">
        <f>I76/12/#REF!</f>
        <v>#REF!</v>
      </c>
      <c r="J77" s="49" t="e">
        <f>J76/12/#REF!</f>
        <v>#REF!</v>
      </c>
      <c r="K77" s="49" t="e">
        <f>K76/12/#REF!</f>
        <v>#REF!</v>
      </c>
      <c r="L77" s="49" t="e">
        <f>L76/12/#REF!</f>
        <v>#REF!</v>
      </c>
      <c r="M77" s="49" t="e">
        <f>M76/12/#REF!</f>
        <v>#REF!</v>
      </c>
      <c r="N77" s="49" t="e">
        <f>N76/12/#REF!</f>
        <v>#REF!</v>
      </c>
      <c r="O77" s="49" t="e">
        <f>O76/12/#REF!</f>
        <v>#REF!</v>
      </c>
      <c r="P77" s="49" t="e">
        <f>P76/12/#REF!</f>
        <v>#REF!</v>
      </c>
      <c r="Q77" s="49" t="e">
        <f>Q76/12/#REF!</f>
        <v>#REF!</v>
      </c>
      <c r="R77" s="49" t="e">
        <f>R76/12/#REF!</f>
        <v>#REF!</v>
      </c>
      <c r="S77" s="49" t="e">
        <f>S76/12/#REF!</f>
        <v>#REF!</v>
      </c>
      <c r="T77" s="49" t="e">
        <f>T76/12/#REF!</f>
        <v>#REF!</v>
      </c>
      <c r="U77" s="49" t="e">
        <f>U76/12/#REF!</f>
        <v>#REF!</v>
      </c>
      <c r="V77" s="49" t="e">
        <f>V76/12/#REF!</f>
        <v>#REF!</v>
      </c>
      <c r="W77" s="49" t="e">
        <f>W76/12/#REF!</f>
        <v>#REF!</v>
      </c>
      <c r="X77" s="49" t="e">
        <f>X76/12/#REF!</f>
        <v>#REF!</v>
      </c>
      <c r="Y77" s="49" t="e">
        <f>Y76/12/#REF!</f>
        <v>#REF!</v>
      </c>
      <c r="Z77" s="49" t="e">
        <f>Z76/12/#REF!</f>
        <v>#REF!</v>
      </c>
      <c r="AA77" s="49" t="e">
        <f>AA76/12/#REF!</f>
        <v>#REF!</v>
      </c>
      <c r="AB77" s="49" t="e">
        <f>AB76/12/#REF!</f>
        <v>#REF!</v>
      </c>
      <c r="AC77" s="49" t="e">
        <f>AC76/12/#REF!</f>
        <v>#REF!</v>
      </c>
      <c r="AD77" s="49" t="e">
        <f>AD76/12/#REF!</f>
        <v>#REF!</v>
      </c>
      <c r="AE77" s="49" t="e">
        <f>AE76/12/#REF!</f>
        <v>#REF!</v>
      </c>
      <c r="AF77" s="49" t="e">
        <f>AF76/12/#REF!</f>
        <v>#REF!</v>
      </c>
      <c r="AG77" s="49" t="e">
        <f>AG76/12/#REF!</f>
        <v>#REF!</v>
      </c>
      <c r="AH77" s="49" t="e">
        <f>AH76/12/#REF!</f>
        <v>#REF!</v>
      </c>
      <c r="AI77" s="49" t="e">
        <f>AI76/12/#REF!</f>
        <v>#REF!</v>
      </c>
      <c r="AJ77" s="49" t="e">
        <f>AJ76/12/#REF!</f>
        <v>#REF!</v>
      </c>
      <c r="AK77" s="49" t="e">
        <f>AK76/12/#REF!</f>
        <v>#REF!</v>
      </c>
      <c r="AL77" s="49" t="e">
        <f>AL76/12/#REF!</f>
        <v>#REF!</v>
      </c>
      <c r="AM77" s="49" t="e">
        <f>AM76/12/#REF!</f>
        <v>#REF!</v>
      </c>
      <c r="AN77" s="49" t="e">
        <f>AN76/12/#REF!</f>
        <v>#REF!</v>
      </c>
      <c r="AO77" s="49" t="e">
        <f>AO76/12/#REF!</f>
        <v>#REF!</v>
      </c>
      <c r="AQ77" s="27" t="e">
        <f>SUM(H77:AA77)</f>
        <v>#REF!</v>
      </c>
      <c r="AR77" s="77" t="e">
        <f>AVERAGE(H77:AA77)</f>
        <v>#REF!</v>
      </c>
    </row>
    <row r="78" spans="2:45" ht="5.0999999999999996" customHeight="1"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Q78" s="32"/>
      <c r="AR78" s="32"/>
    </row>
    <row r="79" spans="2:45">
      <c r="B79" s="64"/>
      <c r="C79" s="65" t="s">
        <v>70</v>
      </c>
      <c r="D79" s="66"/>
      <c r="E79" s="65"/>
      <c r="F79" s="67" t="e">
        <f>IF(F6=0,0,+F76/F6)</f>
        <v>#REF!</v>
      </c>
      <c r="G79" s="67" t="e">
        <f>IF(G6=0,0,+G76/G6)</f>
        <v>#REF!</v>
      </c>
      <c r="H79" s="67" t="e">
        <f>IF(H6=0,0,+H76/H6)</f>
        <v>#REF!</v>
      </c>
      <c r="I79" s="67" t="e">
        <f>IF(I6=0,0,+I76/I6)</f>
        <v>#REF!</v>
      </c>
      <c r="J79" s="67" t="e">
        <f>IF(J6=0,0,+J76/J6)</f>
        <v>#REF!</v>
      </c>
      <c r="K79" s="67" t="e">
        <f t="shared" ref="K79:AB79" si="24">IF(K6=0,0,+K76/K6)</f>
        <v>#REF!</v>
      </c>
      <c r="L79" s="67" t="e">
        <f t="shared" si="24"/>
        <v>#REF!</v>
      </c>
      <c r="M79" s="67" t="e">
        <f t="shared" si="24"/>
        <v>#REF!</v>
      </c>
      <c r="N79" s="67" t="e">
        <f t="shared" si="24"/>
        <v>#REF!</v>
      </c>
      <c r="O79" s="67" t="e">
        <f t="shared" si="24"/>
        <v>#REF!</v>
      </c>
      <c r="P79" s="67" t="e">
        <f t="shared" si="24"/>
        <v>#REF!</v>
      </c>
      <c r="Q79" s="67" t="e">
        <f t="shared" si="24"/>
        <v>#REF!</v>
      </c>
      <c r="R79" s="67" t="e">
        <f t="shared" si="24"/>
        <v>#REF!</v>
      </c>
      <c r="S79" s="67" t="e">
        <f t="shared" si="24"/>
        <v>#REF!</v>
      </c>
      <c r="T79" s="67" t="e">
        <f t="shared" si="24"/>
        <v>#REF!</v>
      </c>
      <c r="U79" s="67" t="e">
        <f t="shared" si="24"/>
        <v>#REF!</v>
      </c>
      <c r="V79" s="67" t="e">
        <f t="shared" si="24"/>
        <v>#REF!</v>
      </c>
      <c r="W79" s="67" t="e">
        <f t="shared" si="24"/>
        <v>#REF!</v>
      </c>
      <c r="X79" s="67" t="e">
        <f t="shared" si="24"/>
        <v>#REF!</v>
      </c>
      <c r="Y79" s="67" t="e">
        <f t="shared" si="24"/>
        <v>#REF!</v>
      </c>
      <c r="Z79" s="67" t="e">
        <f t="shared" si="24"/>
        <v>#REF!</v>
      </c>
      <c r="AA79" s="67" t="e">
        <f t="shared" si="24"/>
        <v>#REF!</v>
      </c>
      <c r="AB79" s="67" t="e">
        <f t="shared" si="24"/>
        <v>#REF!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Q79" s="67"/>
      <c r="AR79" s="68" t="e">
        <f>+AQ76/AQ6</f>
        <v>#REF!</v>
      </c>
      <c r="AS79" s="64"/>
    </row>
  </sheetData>
  <mergeCells count="2">
    <mergeCell ref="AQ1:AQ2"/>
    <mergeCell ref="D11:D1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workbookViewId="0">
      <selection activeCell="A33" sqref="A33"/>
    </sheetView>
  </sheetViews>
  <sheetFormatPr defaultColWidth="8.85546875" defaultRowHeight="15"/>
  <cols>
    <col min="1" max="1" width="2.85546875" customWidth="1"/>
    <col min="2" max="2" width="3" customWidth="1"/>
    <col min="3" max="3" width="44.140625" customWidth="1"/>
    <col min="4" max="4" width="8.140625" customWidth="1"/>
    <col min="26" max="27" width="9.140625" style="4"/>
    <col min="29" max="41" width="0" hidden="1" customWidth="1"/>
    <col min="44" max="44" width="9.42578125" bestFit="1" customWidth="1"/>
  </cols>
  <sheetData>
    <row r="1" spans="3:44">
      <c r="C1" s="9" t="s">
        <v>13</v>
      </c>
      <c r="D1" s="10"/>
      <c r="E1" s="11"/>
      <c r="F1" s="10">
        <v>1</v>
      </c>
      <c r="G1" s="10">
        <v>2</v>
      </c>
      <c r="H1" s="10">
        <v>3</v>
      </c>
      <c r="I1" s="10">
        <v>4</v>
      </c>
      <c r="J1" s="10">
        <v>5</v>
      </c>
      <c r="K1" s="10">
        <v>6</v>
      </c>
      <c r="L1" s="10">
        <v>7</v>
      </c>
      <c r="M1" s="10">
        <v>8</v>
      </c>
      <c r="N1" s="10">
        <v>9</v>
      </c>
      <c r="O1" s="10">
        <v>10</v>
      </c>
      <c r="P1" s="10">
        <v>11</v>
      </c>
      <c r="Q1" s="10">
        <v>12</v>
      </c>
      <c r="R1" s="10">
        <v>13</v>
      </c>
      <c r="S1" s="10">
        <v>14</v>
      </c>
      <c r="T1" s="10">
        <v>15</v>
      </c>
      <c r="U1" s="10">
        <v>16</v>
      </c>
      <c r="V1" s="10">
        <v>17</v>
      </c>
      <c r="W1" s="10">
        <v>18</v>
      </c>
      <c r="X1" s="10">
        <v>19</v>
      </c>
      <c r="Y1" s="10">
        <v>20</v>
      </c>
      <c r="Z1" s="232">
        <v>21</v>
      </c>
      <c r="AA1" s="232">
        <v>22</v>
      </c>
      <c r="AB1" s="10"/>
      <c r="AC1" s="10">
        <v>23</v>
      </c>
      <c r="AD1" s="10">
        <v>24</v>
      </c>
      <c r="AE1" s="10">
        <v>25</v>
      </c>
      <c r="AF1" s="10">
        <v>26</v>
      </c>
      <c r="AG1" s="10">
        <v>27</v>
      </c>
      <c r="AH1" s="10">
        <v>28</v>
      </c>
      <c r="AI1" s="10">
        <v>29</v>
      </c>
      <c r="AJ1" s="10">
        <v>30</v>
      </c>
      <c r="AK1" s="10">
        <v>31</v>
      </c>
      <c r="AL1" s="10">
        <v>32</v>
      </c>
      <c r="AM1" s="10">
        <v>33</v>
      </c>
      <c r="AN1" s="10">
        <v>34</v>
      </c>
      <c r="AO1" s="10">
        <v>35</v>
      </c>
      <c r="AQ1" s="341" t="s">
        <v>0</v>
      </c>
      <c r="AR1" s="10" t="s">
        <v>2</v>
      </c>
    </row>
    <row r="2" spans="3:44">
      <c r="C2" s="9"/>
      <c r="D2" s="12"/>
      <c r="E2" s="13"/>
      <c r="F2" s="14">
        <v>2023</v>
      </c>
      <c r="G2" s="14">
        <v>2024</v>
      </c>
      <c r="H2" s="14">
        <v>2025</v>
      </c>
      <c r="I2" s="14">
        <v>2026</v>
      </c>
      <c r="J2" s="14">
        <v>2027</v>
      </c>
      <c r="K2" s="14">
        <v>2028</v>
      </c>
      <c r="L2" s="14">
        <v>2029</v>
      </c>
      <c r="M2" s="14">
        <v>2030</v>
      </c>
      <c r="N2" s="14">
        <v>2031</v>
      </c>
      <c r="O2" s="14">
        <v>2032</v>
      </c>
      <c r="P2" s="14">
        <v>2033</v>
      </c>
      <c r="Q2" s="14">
        <v>2034</v>
      </c>
      <c r="R2" s="14">
        <v>2035</v>
      </c>
      <c r="S2" s="14">
        <v>2036</v>
      </c>
      <c r="T2" s="14">
        <v>2037</v>
      </c>
      <c r="U2" s="14">
        <v>2038</v>
      </c>
      <c r="V2" s="14">
        <v>2039</v>
      </c>
      <c r="W2" s="14">
        <v>2040</v>
      </c>
      <c r="X2" s="14">
        <v>2041</v>
      </c>
      <c r="Y2" s="14">
        <v>2042</v>
      </c>
      <c r="Z2" s="233">
        <v>2043</v>
      </c>
      <c r="AA2" s="233">
        <v>2044</v>
      </c>
      <c r="AB2" s="14">
        <v>2045</v>
      </c>
      <c r="AC2" s="14">
        <v>2046</v>
      </c>
      <c r="AD2" s="14">
        <v>2047</v>
      </c>
      <c r="AE2" s="14">
        <v>2048</v>
      </c>
      <c r="AF2" s="14">
        <v>2049</v>
      </c>
      <c r="AG2" s="14">
        <v>2050</v>
      </c>
      <c r="AH2" s="14">
        <v>2051</v>
      </c>
      <c r="AI2" s="14">
        <v>2052</v>
      </c>
      <c r="AJ2" s="14">
        <v>2053</v>
      </c>
      <c r="AK2" s="14">
        <v>2054</v>
      </c>
      <c r="AL2" s="14">
        <v>2055</v>
      </c>
      <c r="AM2" s="14">
        <v>2056</v>
      </c>
      <c r="AN2" s="14">
        <v>2057</v>
      </c>
      <c r="AO2" s="14">
        <v>2058</v>
      </c>
      <c r="AQ2" s="341"/>
      <c r="AR2" s="14" t="s">
        <v>14</v>
      </c>
    </row>
    <row r="3" spans="3:44" ht="5.0999999999999996" customHeight="1">
      <c r="C3" s="16"/>
      <c r="D3" s="15"/>
      <c r="E3" s="16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234"/>
      <c r="AA3" s="234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Q3" s="15"/>
      <c r="AR3" s="15"/>
    </row>
    <row r="4" spans="3:44">
      <c r="C4" s="17" t="s">
        <v>90</v>
      </c>
      <c r="D4" s="18"/>
      <c r="E4" s="17"/>
      <c r="F4" s="19">
        <f>F1</f>
        <v>1</v>
      </c>
      <c r="G4" s="19">
        <f>G1</f>
        <v>2</v>
      </c>
      <c r="H4" s="19">
        <f t="shared" ref="H4:AO4" si="0">H1</f>
        <v>3</v>
      </c>
      <c r="I4" s="19">
        <f t="shared" si="0"/>
        <v>4</v>
      </c>
      <c r="J4" s="19">
        <f t="shared" si="0"/>
        <v>5</v>
      </c>
      <c r="K4" s="19">
        <f t="shared" si="0"/>
        <v>6</v>
      </c>
      <c r="L4" s="19">
        <f t="shared" si="0"/>
        <v>7</v>
      </c>
      <c r="M4" s="19">
        <f t="shared" si="0"/>
        <v>8</v>
      </c>
      <c r="N4" s="19">
        <f t="shared" si="0"/>
        <v>9</v>
      </c>
      <c r="O4" s="19">
        <f t="shared" si="0"/>
        <v>10</v>
      </c>
      <c r="P4" s="19">
        <f t="shared" si="0"/>
        <v>11</v>
      </c>
      <c r="Q4" s="19">
        <f t="shared" si="0"/>
        <v>12</v>
      </c>
      <c r="R4" s="19">
        <f t="shared" si="0"/>
        <v>13</v>
      </c>
      <c r="S4" s="19">
        <f t="shared" si="0"/>
        <v>14</v>
      </c>
      <c r="T4" s="19">
        <f t="shared" si="0"/>
        <v>15</v>
      </c>
      <c r="U4" s="19">
        <f t="shared" si="0"/>
        <v>16</v>
      </c>
      <c r="V4" s="19">
        <f t="shared" si="0"/>
        <v>17</v>
      </c>
      <c r="W4" s="19">
        <f t="shared" si="0"/>
        <v>18</v>
      </c>
      <c r="X4" s="19">
        <f t="shared" si="0"/>
        <v>19</v>
      </c>
      <c r="Y4" s="19">
        <f t="shared" si="0"/>
        <v>20</v>
      </c>
      <c r="Z4" s="235">
        <f t="shared" si="0"/>
        <v>21</v>
      </c>
      <c r="AA4" s="235">
        <f t="shared" si="0"/>
        <v>22</v>
      </c>
      <c r="AB4" s="19">
        <f t="shared" si="0"/>
        <v>0</v>
      </c>
      <c r="AC4" s="19">
        <f t="shared" si="0"/>
        <v>23</v>
      </c>
      <c r="AD4" s="19">
        <f t="shared" si="0"/>
        <v>24</v>
      </c>
      <c r="AE4" s="19">
        <f t="shared" si="0"/>
        <v>25</v>
      </c>
      <c r="AF4" s="19">
        <f t="shared" si="0"/>
        <v>26</v>
      </c>
      <c r="AG4" s="19">
        <f t="shared" si="0"/>
        <v>27</v>
      </c>
      <c r="AH4" s="19">
        <f t="shared" si="0"/>
        <v>28</v>
      </c>
      <c r="AI4" s="19">
        <f t="shared" si="0"/>
        <v>29</v>
      </c>
      <c r="AJ4" s="19">
        <f t="shared" si="0"/>
        <v>30</v>
      </c>
      <c r="AK4" s="19">
        <f t="shared" si="0"/>
        <v>31</v>
      </c>
      <c r="AL4" s="19">
        <f t="shared" si="0"/>
        <v>32</v>
      </c>
      <c r="AM4" s="19">
        <f t="shared" si="0"/>
        <v>33</v>
      </c>
      <c r="AN4" s="19">
        <f t="shared" si="0"/>
        <v>34</v>
      </c>
      <c r="AO4" s="19">
        <f t="shared" si="0"/>
        <v>35</v>
      </c>
      <c r="AQ4" s="20"/>
      <c r="AR4" s="19"/>
    </row>
    <row r="5" spans="3:44" ht="5.0999999999999996" customHeight="1"/>
    <row r="6" spans="3:44">
      <c r="C6" s="24" t="s">
        <v>15</v>
      </c>
      <c r="D6" s="25">
        <v>1</v>
      </c>
      <c r="E6" s="26"/>
      <c r="F6" s="27" t="e">
        <f>VLOOKUP('Balanço de massa RSD'!F1,#REF!,25)</f>
        <v>#REF!</v>
      </c>
      <c r="G6" s="27" t="e">
        <f>VLOOKUP('Balanço de massa RSD'!G1,#REF!,25)</f>
        <v>#REF!</v>
      </c>
      <c r="H6" s="27" t="e">
        <f>VLOOKUP('Balanço de massa RSD'!H1,#REF!,25)</f>
        <v>#REF!</v>
      </c>
      <c r="I6" s="27" t="e">
        <f>VLOOKUP('Balanço de massa RSD'!I1,#REF!,25)</f>
        <v>#REF!</v>
      </c>
      <c r="J6" s="27" t="e">
        <f>VLOOKUP('Balanço de massa RSD'!J1,#REF!,25)</f>
        <v>#REF!</v>
      </c>
      <c r="K6" s="27" t="e">
        <f>VLOOKUP('Balanço de massa RSD'!K1,#REF!,25)</f>
        <v>#REF!</v>
      </c>
      <c r="L6" s="27" t="e">
        <f>VLOOKUP('Balanço de massa RSD'!L1,#REF!,25)</f>
        <v>#REF!</v>
      </c>
      <c r="M6" s="27" t="e">
        <f>VLOOKUP('Balanço de massa RSD'!M1,#REF!,25)</f>
        <v>#REF!</v>
      </c>
      <c r="N6" s="27" t="e">
        <f>VLOOKUP('Balanço de massa RSD'!N1,#REF!,25)</f>
        <v>#REF!</v>
      </c>
      <c r="O6" s="27" t="e">
        <f>VLOOKUP('Balanço de massa RSD'!O1,#REF!,25)</f>
        <v>#REF!</v>
      </c>
      <c r="P6" s="27" t="e">
        <f>VLOOKUP('Balanço de massa RSD'!P1,#REF!,25)</f>
        <v>#REF!</v>
      </c>
      <c r="Q6" s="27" t="e">
        <f>VLOOKUP('Balanço de massa RSD'!Q1,#REF!,25)</f>
        <v>#REF!</v>
      </c>
      <c r="R6" s="27" t="e">
        <f>VLOOKUP('Balanço de massa RSD'!R1,#REF!,25)</f>
        <v>#REF!</v>
      </c>
      <c r="S6" s="27" t="e">
        <f>VLOOKUP('Balanço de massa RSD'!S1,#REF!,25)</f>
        <v>#REF!</v>
      </c>
      <c r="T6" s="27" t="e">
        <f>VLOOKUP('Balanço de massa RSD'!T1,#REF!,25)</f>
        <v>#REF!</v>
      </c>
      <c r="U6" s="27" t="e">
        <f>VLOOKUP('Balanço de massa RSD'!U1,#REF!,25)</f>
        <v>#REF!</v>
      </c>
      <c r="V6" s="27" t="e">
        <f>VLOOKUP('Balanço de massa RSD'!V1,#REF!,25)</f>
        <v>#REF!</v>
      </c>
      <c r="W6" s="27" t="e">
        <f>VLOOKUP('Balanço de massa RSD'!W1,#REF!,25)</f>
        <v>#REF!</v>
      </c>
      <c r="X6" s="27" t="e">
        <f>VLOOKUP('Balanço de massa RSD'!X1,#REF!,25)</f>
        <v>#REF!</v>
      </c>
      <c r="Y6" s="27" t="e">
        <f>VLOOKUP('Balanço de massa RSD'!Y1,#REF!,25)</f>
        <v>#REF!</v>
      </c>
      <c r="Z6" s="236" t="e">
        <f>VLOOKUP('Balanço de massa RSD'!Z1,#REF!,25)</f>
        <v>#REF!</v>
      </c>
      <c r="AA6" s="236" t="e">
        <f>VLOOKUP('Balanço de massa RSD'!AA1,#REF!,25)</f>
        <v>#REF!</v>
      </c>
      <c r="AB6" s="27" t="e">
        <f>VLOOKUP('Balanço de massa RSD'!AB1,#REF!,25)</f>
        <v>#REF!</v>
      </c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Q6" s="27" t="e">
        <f>SUM(F6:AA6)</f>
        <v>#REF!</v>
      </c>
      <c r="AR6" s="27" t="e">
        <f>AVERAGE(H6:AA6)</f>
        <v>#REF!</v>
      </c>
    </row>
    <row r="7" spans="3:44">
      <c r="C7" s="24" t="s">
        <v>16</v>
      </c>
      <c r="D7" s="28"/>
      <c r="E7" s="69"/>
      <c r="F7" s="27">
        <v>0</v>
      </c>
      <c r="G7" s="27">
        <v>0</v>
      </c>
      <c r="H7" s="27" t="e">
        <f>H6/(#REF!*12)</f>
        <v>#REF!</v>
      </c>
      <c r="I7" s="27" t="e">
        <f>I6/(#REF!*12)</f>
        <v>#REF!</v>
      </c>
      <c r="J7" s="27" t="e">
        <f>J6/(#REF!*12)</f>
        <v>#REF!</v>
      </c>
      <c r="K7" s="27" t="e">
        <f>K6/(#REF!*12)</f>
        <v>#REF!</v>
      </c>
      <c r="L7" s="27" t="e">
        <f>L6/(#REF!*12)</f>
        <v>#REF!</v>
      </c>
      <c r="M7" s="27" t="e">
        <f>M6/(#REF!*12)</f>
        <v>#REF!</v>
      </c>
      <c r="N7" s="27" t="e">
        <f>N6/(#REF!*12)</f>
        <v>#REF!</v>
      </c>
      <c r="O7" s="27" t="e">
        <f>O6/(#REF!*12)</f>
        <v>#REF!</v>
      </c>
      <c r="P7" s="27" t="e">
        <f>P6/(#REF!*12)</f>
        <v>#REF!</v>
      </c>
      <c r="Q7" s="27" t="e">
        <f>Q6/(#REF!*12)</f>
        <v>#REF!</v>
      </c>
      <c r="R7" s="27" t="e">
        <f>R6/(#REF!*12)</f>
        <v>#REF!</v>
      </c>
      <c r="S7" s="27" t="e">
        <f>S6/(#REF!*12)</f>
        <v>#REF!</v>
      </c>
      <c r="T7" s="27" t="e">
        <f>T6/(#REF!*12)</f>
        <v>#REF!</v>
      </c>
      <c r="U7" s="27" t="e">
        <f>U6/(#REF!*12)</f>
        <v>#REF!</v>
      </c>
      <c r="V7" s="27" t="e">
        <f>V6/(#REF!*12)</f>
        <v>#REF!</v>
      </c>
      <c r="W7" s="27" t="e">
        <f>W6/(#REF!*12)</f>
        <v>#REF!</v>
      </c>
      <c r="X7" s="27" t="e">
        <f>X6/(#REF!*12)</f>
        <v>#REF!</v>
      </c>
      <c r="Y7" s="27" t="e">
        <f>Y6/(#REF!*12)</f>
        <v>#REF!</v>
      </c>
      <c r="Z7" s="236" t="e">
        <f>Z6/(#REF!*12)</f>
        <v>#REF!</v>
      </c>
      <c r="AA7" s="236" t="e">
        <f>AA6/(#REF!*12)</f>
        <v>#REF!</v>
      </c>
      <c r="AB7" s="27" t="e">
        <f>AB6/(#REF!*12)</f>
        <v>#REF!</v>
      </c>
      <c r="AC7" s="27" t="e">
        <f>AC6/(#REF!*12)</f>
        <v>#REF!</v>
      </c>
      <c r="AD7" s="27" t="e">
        <f>AD6/(#REF!*12)</f>
        <v>#REF!</v>
      </c>
      <c r="AE7" s="27" t="e">
        <f>AE6/(#REF!*12)</f>
        <v>#REF!</v>
      </c>
      <c r="AF7" s="27" t="e">
        <f>AF6/(#REF!*12)</f>
        <v>#REF!</v>
      </c>
      <c r="AG7" s="27" t="e">
        <f>AG6/(#REF!*12)</f>
        <v>#REF!</v>
      </c>
      <c r="AH7" s="27" t="e">
        <f>AH6/(#REF!*12)</f>
        <v>#REF!</v>
      </c>
      <c r="AI7" s="27" t="e">
        <f>AI6/(#REF!*12)</f>
        <v>#REF!</v>
      </c>
      <c r="AJ7" s="27" t="e">
        <f>AJ6/(#REF!*12)</f>
        <v>#REF!</v>
      </c>
      <c r="AK7" s="27" t="e">
        <f>AK6/(#REF!*12)</f>
        <v>#REF!</v>
      </c>
      <c r="AL7" s="27" t="e">
        <f>AL6/(#REF!*12)</f>
        <v>#REF!</v>
      </c>
      <c r="AM7" s="27" t="e">
        <f>AM6/(#REF!*12)</f>
        <v>#REF!</v>
      </c>
      <c r="AN7" s="27" t="e">
        <f>AN6/(#REF!*12)</f>
        <v>#REF!</v>
      </c>
      <c r="AO7" s="27" t="e">
        <f>AO6/(#REF!*12)</f>
        <v>#REF!</v>
      </c>
      <c r="AQ7" s="27" t="e">
        <f>SUM(F7:AA7)</f>
        <v>#REF!</v>
      </c>
      <c r="AR7" s="27" t="e">
        <f>AVERAGE(H7:AA7)</f>
        <v>#REF!</v>
      </c>
    </row>
    <row r="8" spans="3:44" ht="5.0999999999999996" customHeight="1">
      <c r="C8" s="29"/>
      <c r="E8" s="2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36"/>
      <c r="AA8" s="236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Q8" s="27"/>
      <c r="AR8" s="27"/>
    </row>
    <row r="9" spans="3:44">
      <c r="C9" s="30" t="s">
        <v>17</v>
      </c>
      <c r="E9" s="2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237"/>
      <c r="AA9" s="237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Q9" s="31"/>
      <c r="AR9" s="31"/>
    </row>
    <row r="10" spans="3:44" ht="5.0999999999999996" customHeight="1"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84"/>
      <c r="AA10" s="84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Q10" s="32"/>
      <c r="AR10" s="32"/>
    </row>
    <row r="11" spans="3:44">
      <c r="C11" s="24" t="s">
        <v>18</v>
      </c>
      <c r="D11" s="342">
        <v>1</v>
      </c>
      <c r="F11" s="27" t="e">
        <f>F6</f>
        <v>#REF!</v>
      </c>
      <c r="G11" s="27" t="e">
        <f t="shared" ref="G11:AB11" si="1">G6</f>
        <v>#REF!</v>
      </c>
      <c r="H11" s="27" t="e">
        <f t="shared" si="1"/>
        <v>#REF!</v>
      </c>
      <c r="I11" s="27" t="e">
        <f>I6</f>
        <v>#REF!</v>
      </c>
      <c r="J11" s="27" t="e">
        <f t="shared" si="1"/>
        <v>#REF!</v>
      </c>
      <c r="K11" s="27" t="e">
        <f t="shared" si="1"/>
        <v>#REF!</v>
      </c>
      <c r="L11" s="27" t="e">
        <f t="shared" si="1"/>
        <v>#REF!</v>
      </c>
      <c r="M11" s="27" t="e">
        <f t="shared" si="1"/>
        <v>#REF!</v>
      </c>
      <c r="N11" s="27" t="e">
        <f t="shared" si="1"/>
        <v>#REF!</v>
      </c>
      <c r="O11" s="27" t="e">
        <f t="shared" si="1"/>
        <v>#REF!</v>
      </c>
      <c r="P11" s="27" t="e">
        <f t="shared" si="1"/>
        <v>#REF!</v>
      </c>
      <c r="Q11" s="27" t="e">
        <f t="shared" si="1"/>
        <v>#REF!</v>
      </c>
      <c r="R11" s="27" t="e">
        <f t="shared" si="1"/>
        <v>#REF!</v>
      </c>
      <c r="S11" s="27" t="e">
        <f t="shared" si="1"/>
        <v>#REF!</v>
      </c>
      <c r="T11" s="27" t="e">
        <f t="shared" si="1"/>
        <v>#REF!</v>
      </c>
      <c r="U11" s="27" t="e">
        <f t="shared" si="1"/>
        <v>#REF!</v>
      </c>
      <c r="V11" s="27" t="e">
        <f t="shared" si="1"/>
        <v>#REF!</v>
      </c>
      <c r="W11" s="27" t="e">
        <f t="shared" si="1"/>
        <v>#REF!</v>
      </c>
      <c r="X11" s="27" t="e">
        <f t="shared" si="1"/>
        <v>#REF!</v>
      </c>
      <c r="Y11" s="27" t="e">
        <f t="shared" si="1"/>
        <v>#REF!</v>
      </c>
      <c r="Z11" s="236" t="e">
        <f t="shared" si="1"/>
        <v>#REF!</v>
      </c>
      <c r="AA11" s="236" t="e">
        <f t="shared" si="1"/>
        <v>#REF!</v>
      </c>
      <c r="AB11" s="27" t="e">
        <f t="shared" si="1"/>
        <v>#REF!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Q11" s="27"/>
      <c r="AR11" s="27">
        <v>5814862.3361265417</v>
      </c>
    </row>
    <row r="12" spans="3:44">
      <c r="C12" s="24" t="s">
        <v>81</v>
      </c>
      <c r="D12" s="342"/>
      <c r="F12" s="27">
        <f>F7</f>
        <v>0</v>
      </c>
      <c r="G12" s="27">
        <f t="shared" ref="G12:AB12" si="2">G7</f>
        <v>0</v>
      </c>
      <c r="H12" s="27" t="e">
        <f t="shared" si="2"/>
        <v>#REF!</v>
      </c>
      <c r="I12" s="27" t="e">
        <f t="shared" si="2"/>
        <v>#REF!</v>
      </c>
      <c r="J12" s="27" t="e">
        <f t="shared" si="2"/>
        <v>#REF!</v>
      </c>
      <c r="K12" s="27" t="e">
        <f t="shared" si="2"/>
        <v>#REF!</v>
      </c>
      <c r="L12" s="27" t="e">
        <f t="shared" si="2"/>
        <v>#REF!</v>
      </c>
      <c r="M12" s="27" t="e">
        <f t="shared" si="2"/>
        <v>#REF!</v>
      </c>
      <c r="N12" s="27" t="e">
        <f t="shared" si="2"/>
        <v>#REF!</v>
      </c>
      <c r="O12" s="27" t="e">
        <f t="shared" si="2"/>
        <v>#REF!</v>
      </c>
      <c r="P12" s="27" t="e">
        <f t="shared" si="2"/>
        <v>#REF!</v>
      </c>
      <c r="Q12" s="27" t="e">
        <f t="shared" si="2"/>
        <v>#REF!</v>
      </c>
      <c r="R12" s="27" t="e">
        <f t="shared" si="2"/>
        <v>#REF!</v>
      </c>
      <c r="S12" s="27" t="e">
        <f t="shared" si="2"/>
        <v>#REF!</v>
      </c>
      <c r="T12" s="27" t="e">
        <f t="shared" si="2"/>
        <v>#REF!</v>
      </c>
      <c r="U12" s="27" t="e">
        <f>U7</f>
        <v>#REF!</v>
      </c>
      <c r="V12" s="27" t="e">
        <f t="shared" si="2"/>
        <v>#REF!</v>
      </c>
      <c r="W12" s="27" t="e">
        <f t="shared" si="2"/>
        <v>#REF!</v>
      </c>
      <c r="X12" s="27" t="e">
        <f t="shared" si="2"/>
        <v>#REF!</v>
      </c>
      <c r="Y12" s="27" t="e">
        <f t="shared" si="2"/>
        <v>#REF!</v>
      </c>
      <c r="Z12" s="236" t="e">
        <f t="shared" si="2"/>
        <v>#REF!</v>
      </c>
      <c r="AA12" s="236" t="e">
        <f t="shared" si="2"/>
        <v>#REF!</v>
      </c>
      <c r="AB12" s="83" t="e">
        <f t="shared" si="2"/>
        <v>#REF!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Q12" s="27"/>
      <c r="AR12" s="27">
        <v>517.70498006824607</v>
      </c>
    </row>
    <row r="13" spans="3:44" ht="5.0999999999999996" customHeight="1"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84"/>
      <c r="AA13" s="84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Q13" s="32"/>
      <c r="AR13" s="32"/>
    </row>
    <row r="14" spans="3:44">
      <c r="C14" s="24" t="s">
        <v>202</v>
      </c>
      <c r="D14" s="226" t="e">
        <f>#REF!</f>
        <v>#REF!</v>
      </c>
      <c r="F14" s="33" t="e">
        <f>$D$14</f>
        <v>#REF!</v>
      </c>
      <c r="G14" s="33" t="e">
        <f t="shared" ref="G14:AB14" si="3">$D$14</f>
        <v>#REF!</v>
      </c>
      <c r="H14" s="33" t="e">
        <f t="shared" si="3"/>
        <v>#REF!</v>
      </c>
      <c r="I14" s="33" t="e">
        <f t="shared" si="3"/>
        <v>#REF!</v>
      </c>
      <c r="J14" s="33" t="e">
        <f t="shared" si="3"/>
        <v>#REF!</v>
      </c>
      <c r="K14" s="33" t="e">
        <f t="shared" si="3"/>
        <v>#REF!</v>
      </c>
      <c r="L14" s="33" t="e">
        <f t="shared" si="3"/>
        <v>#REF!</v>
      </c>
      <c r="M14" s="33" t="e">
        <f t="shared" si="3"/>
        <v>#REF!</v>
      </c>
      <c r="N14" s="33" t="e">
        <f t="shared" si="3"/>
        <v>#REF!</v>
      </c>
      <c r="O14" s="33" t="e">
        <f t="shared" si="3"/>
        <v>#REF!</v>
      </c>
      <c r="P14" s="33" t="e">
        <f t="shared" si="3"/>
        <v>#REF!</v>
      </c>
      <c r="Q14" s="33" t="e">
        <f t="shared" si="3"/>
        <v>#REF!</v>
      </c>
      <c r="R14" s="33" t="e">
        <f t="shared" si="3"/>
        <v>#REF!</v>
      </c>
      <c r="S14" s="33" t="e">
        <f t="shared" si="3"/>
        <v>#REF!</v>
      </c>
      <c r="T14" s="33" t="e">
        <f t="shared" si="3"/>
        <v>#REF!</v>
      </c>
      <c r="U14" s="33" t="e">
        <f t="shared" si="3"/>
        <v>#REF!</v>
      </c>
      <c r="V14" s="33" t="e">
        <f t="shared" si="3"/>
        <v>#REF!</v>
      </c>
      <c r="W14" s="33" t="e">
        <f t="shared" si="3"/>
        <v>#REF!</v>
      </c>
      <c r="X14" s="33" t="e">
        <f t="shared" si="3"/>
        <v>#REF!</v>
      </c>
      <c r="Y14" s="33" t="e">
        <f t="shared" si="3"/>
        <v>#REF!</v>
      </c>
      <c r="Z14" s="238" t="e">
        <f t="shared" si="3"/>
        <v>#REF!</v>
      </c>
      <c r="AA14" s="238" t="e">
        <f t="shared" si="3"/>
        <v>#REF!</v>
      </c>
      <c r="AB14" s="33" t="e">
        <f t="shared" si="3"/>
        <v>#REF!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Q14" s="33"/>
      <c r="AR14" s="33">
        <v>2</v>
      </c>
    </row>
    <row r="15" spans="3:44">
      <c r="C15" s="24" t="s">
        <v>203</v>
      </c>
      <c r="D15" s="226">
        <v>2</v>
      </c>
      <c r="F15" s="33">
        <f>$D$15</f>
        <v>2</v>
      </c>
      <c r="G15" s="33">
        <f t="shared" ref="G15:AB15" si="4">$D$15</f>
        <v>2</v>
      </c>
      <c r="H15" s="33">
        <f t="shared" si="4"/>
        <v>2</v>
      </c>
      <c r="I15" s="33">
        <f t="shared" si="4"/>
        <v>2</v>
      </c>
      <c r="J15" s="33">
        <f t="shared" si="4"/>
        <v>2</v>
      </c>
      <c r="K15" s="33">
        <f t="shared" si="4"/>
        <v>2</v>
      </c>
      <c r="L15" s="33">
        <f t="shared" si="4"/>
        <v>2</v>
      </c>
      <c r="M15" s="33">
        <f t="shared" si="4"/>
        <v>2</v>
      </c>
      <c r="N15" s="33">
        <f t="shared" si="4"/>
        <v>2</v>
      </c>
      <c r="O15" s="33">
        <f t="shared" si="4"/>
        <v>2</v>
      </c>
      <c r="P15" s="33">
        <f t="shared" si="4"/>
        <v>2</v>
      </c>
      <c r="Q15" s="33">
        <f t="shared" si="4"/>
        <v>2</v>
      </c>
      <c r="R15" s="33">
        <f t="shared" si="4"/>
        <v>2</v>
      </c>
      <c r="S15" s="33">
        <f t="shared" si="4"/>
        <v>2</v>
      </c>
      <c r="T15" s="33">
        <f t="shared" si="4"/>
        <v>2</v>
      </c>
      <c r="U15" s="33">
        <f t="shared" si="4"/>
        <v>2</v>
      </c>
      <c r="V15" s="33">
        <f t="shared" si="4"/>
        <v>2</v>
      </c>
      <c r="W15" s="33">
        <f t="shared" si="4"/>
        <v>2</v>
      </c>
      <c r="X15" s="33">
        <f t="shared" si="4"/>
        <v>2</v>
      </c>
      <c r="Y15" s="33">
        <f t="shared" si="4"/>
        <v>2</v>
      </c>
      <c r="Z15" s="238">
        <f t="shared" si="4"/>
        <v>2</v>
      </c>
      <c r="AA15" s="238">
        <f t="shared" si="4"/>
        <v>2</v>
      </c>
      <c r="AB15" s="33">
        <f t="shared" si="4"/>
        <v>2</v>
      </c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Q15" s="33"/>
      <c r="AR15" s="33"/>
    </row>
    <row r="16" spans="3:44">
      <c r="C16" s="24" t="s">
        <v>205</v>
      </c>
      <c r="D16" s="226">
        <v>6</v>
      </c>
      <c r="F16" s="33">
        <f>$D$16</f>
        <v>6</v>
      </c>
      <c r="G16" s="33">
        <f t="shared" ref="G16:AB16" si="5">$D$16</f>
        <v>6</v>
      </c>
      <c r="H16" s="33">
        <f t="shared" si="5"/>
        <v>6</v>
      </c>
      <c r="I16" s="33">
        <f t="shared" si="5"/>
        <v>6</v>
      </c>
      <c r="J16" s="33">
        <f t="shared" si="5"/>
        <v>6</v>
      </c>
      <c r="K16" s="33">
        <f t="shared" si="5"/>
        <v>6</v>
      </c>
      <c r="L16" s="33">
        <f t="shared" si="5"/>
        <v>6</v>
      </c>
      <c r="M16" s="33">
        <f t="shared" si="5"/>
        <v>6</v>
      </c>
      <c r="N16" s="33">
        <f t="shared" si="5"/>
        <v>6</v>
      </c>
      <c r="O16" s="33">
        <f t="shared" si="5"/>
        <v>6</v>
      </c>
      <c r="P16" s="33">
        <f t="shared" si="5"/>
        <v>6</v>
      </c>
      <c r="Q16" s="33">
        <f t="shared" si="5"/>
        <v>6</v>
      </c>
      <c r="R16" s="33">
        <f t="shared" si="5"/>
        <v>6</v>
      </c>
      <c r="S16" s="33">
        <f t="shared" si="5"/>
        <v>6</v>
      </c>
      <c r="T16" s="33">
        <f t="shared" si="5"/>
        <v>6</v>
      </c>
      <c r="U16" s="33">
        <f t="shared" si="5"/>
        <v>6</v>
      </c>
      <c r="V16" s="33">
        <f t="shared" si="5"/>
        <v>6</v>
      </c>
      <c r="W16" s="33">
        <f t="shared" si="5"/>
        <v>6</v>
      </c>
      <c r="X16" s="33">
        <f t="shared" si="5"/>
        <v>6</v>
      </c>
      <c r="Y16" s="33">
        <f t="shared" si="5"/>
        <v>6</v>
      </c>
      <c r="Z16" s="238">
        <f t="shared" si="5"/>
        <v>6</v>
      </c>
      <c r="AA16" s="238">
        <f t="shared" si="5"/>
        <v>6</v>
      </c>
      <c r="AB16" s="33">
        <f t="shared" si="5"/>
        <v>6</v>
      </c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Q16" s="33"/>
      <c r="AR16" s="33"/>
    </row>
    <row r="17" spans="1:45">
      <c r="C17" s="24" t="s">
        <v>206</v>
      </c>
      <c r="D17" s="226">
        <v>44</v>
      </c>
      <c r="F17" s="33">
        <f>$D$17</f>
        <v>44</v>
      </c>
      <c r="G17" s="33">
        <f t="shared" ref="G17:AB17" si="6">$D$17</f>
        <v>44</v>
      </c>
      <c r="H17" s="33">
        <f t="shared" si="6"/>
        <v>44</v>
      </c>
      <c r="I17" s="33">
        <f t="shared" si="6"/>
        <v>44</v>
      </c>
      <c r="J17" s="33">
        <f t="shared" si="6"/>
        <v>44</v>
      </c>
      <c r="K17" s="33">
        <f t="shared" si="6"/>
        <v>44</v>
      </c>
      <c r="L17" s="33">
        <f t="shared" si="6"/>
        <v>44</v>
      </c>
      <c r="M17" s="33">
        <f t="shared" si="6"/>
        <v>44</v>
      </c>
      <c r="N17" s="33">
        <f t="shared" si="6"/>
        <v>44</v>
      </c>
      <c r="O17" s="33">
        <f t="shared" si="6"/>
        <v>44</v>
      </c>
      <c r="P17" s="33">
        <f t="shared" si="6"/>
        <v>44</v>
      </c>
      <c r="Q17" s="33">
        <f t="shared" si="6"/>
        <v>44</v>
      </c>
      <c r="R17" s="33">
        <f t="shared" si="6"/>
        <v>44</v>
      </c>
      <c r="S17" s="33">
        <f t="shared" si="6"/>
        <v>44</v>
      </c>
      <c r="T17" s="33">
        <f t="shared" si="6"/>
        <v>44</v>
      </c>
      <c r="U17" s="33">
        <f t="shared" si="6"/>
        <v>44</v>
      </c>
      <c r="V17" s="33">
        <f t="shared" si="6"/>
        <v>44</v>
      </c>
      <c r="W17" s="33">
        <f t="shared" si="6"/>
        <v>44</v>
      </c>
      <c r="X17" s="33">
        <f t="shared" si="6"/>
        <v>44</v>
      </c>
      <c r="Y17" s="33">
        <f t="shared" si="6"/>
        <v>44</v>
      </c>
      <c r="Z17" s="238">
        <f t="shared" si="6"/>
        <v>44</v>
      </c>
      <c r="AA17" s="238">
        <f t="shared" si="6"/>
        <v>44</v>
      </c>
      <c r="AB17" s="33">
        <f t="shared" si="6"/>
        <v>44</v>
      </c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Q17" s="33"/>
      <c r="AR17" s="33">
        <v>7</v>
      </c>
    </row>
    <row r="18" spans="1:45" ht="5.0999999999999996" customHeight="1"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84"/>
      <c r="AA18" s="84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Q18" s="32"/>
      <c r="AR18" s="32"/>
    </row>
    <row r="19" spans="1:45">
      <c r="A19" s="39"/>
      <c r="B19" s="39"/>
      <c r="C19" s="34" t="s">
        <v>21</v>
      </c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39"/>
      <c r="AA19" s="239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Q19" s="37"/>
      <c r="AR19" s="37"/>
      <c r="AS19" s="39"/>
    </row>
    <row r="20" spans="1:45" ht="5.0999999999999996" customHeight="1"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84"/>
      <c r="AA20" s="84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Q20" s="32"/>
      <c r="AR20" s="32"/>
    </row>
    <row r="21" spans="1:45">
      <c r="C21" s="40" t="s">
        <v>196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84"/>
      <c r="AA21" s="84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Q21" s="32"/>
      <c r="AR21" s="32"/>
    </row>
    <row r="22" spans="1:45">
      <c r="C22" s="24" t="s">
        <v>23</v>
      </c>
      <c r="D22" s="80" t="e">
        <f>#REF!</f>
        <v>#REF!</v>
      </c>
      <c r="E22" s="21"/>
      <c r="F22" s="41"/>
      <c r="G22" s="41"/>
      <c r="H22" s="45" t="e">
        <f>$D$22</f>
        <v>#REF!</v>
      </c>
      <c r="I22" s="45" t="e">
        <f>$D$22</f>
        <v>#REF!</v>
      </c>
      <c r="J22" s="45" t="e">
        <f t="shared" ref="J22:AB22" si="7">$D$22</f>
        <v>#REF!</v>
      </c>
      <c r="K22" s="45" t="e">
        <f t="shared" si="7"/>
        <v>#REF!</v>
      </c>
      <c r="L22" s="45" t="e">
        <f t="shared" si="7"/>
        <v>#REF!</v>
      </c>
      <c r="M22" s="45" t="e">
        <f t="shared" si="7"/>
        <v>#REF!</v>
      </c>
      <c r="N22" s="45" t="e">
        <f t="shared" si="7"/>
        <v>#REF!</v>
      </c>
      <c r="O22" s="45" t="e">
        <f t="shared" si="7"/>
        <v>#REF!</v>
      </c>
      <c r="P22" s="45" t="e">
        <f t="shared" si="7"/>
        <v>#REF!</v>
      </c>
      <c r="Q22" s="45" t="e">
        <f t="shared" si="7"/>
        <v>#REF!</v>
      </c>
      <c r="R22" s="45" t="e">
        <f t="shared" si="7"/>
        <v>#REF!</v>
      </c>
      <c r="S22" s="45" t="e">
        <f t="shared" si="7"/>
        <v>#REF!</v>
      </c>
      <c r="T22" s="45" t="e">
        <f t="shared" si="7"/>
        <v>#REF!</v>
      </c>
      <c r="U22" s="45" t="e">
        <f t="shared" si="7"/>
        <v>#REF!</v>
      </c>
      <c r="V22" s="45" t="e">
        <f t="shared" si="7"/>
        <v>#REF!</v>
      </c>
      <c r="W22" s="45" t="e">
        <f t="shared" si="7"/>
        <v>#REF!</v>
      </c>
      <c r="X22" s="45" t="e">
        <f t="shared" si="7"/>
        <v>#REF!</v>
      </c>
      <c r="Y22" s="45" t="e">
        <f t="shared" si="7"/>
        <v>#REF!</v>
      </c>
      <c r="Z22" s="82" t="e">
        <f t="shared" si="7"/>
        <v>#REF!</v>
      </c>
      <c r="AA22" s="82" t="e">
        <f t="shared" si="7"/>
        <v>#REF!</v>
      </c>
      <c r="AB22" s="45" t="e">
        <f t="shared" si="7"/>
        <v>#REF!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Q22" s="45"/>
      <c r="AR22" s="41" t="e">
        <f>AVERAGE(I22:AB22)</f>
        <v>#REF!</v>
      </c>
    </row>
    <row r="23" spans="1:45">
      <c r="C23" s="24" t="s">
        <v>24</v>
      </c>
      <c r="D23" s="80" t="e">
        <f>#REF!</f>
        <v>#REF!</v>
      </c>
      <c r="E23" s="21" t="s">
        <v>25</v>
      </c>
      <c r="F23" s="42"/>
      <c r="G23" s="42"/>
      <c r="H23" s="42" t="e">
        <f>$D$23</f>
        <v>#REF!</v>
      </c>
      <c r="I23" s="42" t="e">
        <f>$D$23</f>
        <v>#REF!</v>
      </c>
      <c r="J23" s="42" t="e">
        <f t="shared" ref="J23:AB23" si="8">$D$23</f>
        <v>#REF!</v>
      </c>
      <c r="K23" s="42" t="e">
        <f t="shared" si="8"/>
        <v>#REF!</v>
      </c>
      <c r="L23" s="42" t="e">
        <f t="shared" si="8"/>
        <v>#REF!</v>
      </c>
      <c r="M23" s="42" t="e">
        <f t="shared" si="8"/>
        <v>#REF!</v>
      </c>
      <c r="N23" s="42" t="e">
        <f t="shared" si="8"/>
        <v>#REF!</v>
      </c>
      <c r="O23" s="42" t="e">
        <f t="shared" si="8"/>
        <v>#REF!</v>
      </c>
      <c r="P23" s="42" t="e">
        <f t="shared" si="8"/>
        <v>#REF!</v>
      </c>
      <c r="Q23" s="42" t="e">
        <f t="shared" si="8"/>
        <v>#REF!</v>
      </c>
      <c r="R23" s="42" t="e">
        <f t="shared" si="8"/>
        <v>#REF!</v>
      </c>
      <c r="S23" s="42" t="e">
        <f t="shared" si="8"/>
        <v>#REF!</v>
      </c>
      <c r="T23" s="42" t="e">
        <f t="shared" si="8"/>
        <v>#REF!</v>
      </c>
      <c r="U23" s="42" t="e">
        <f t="shared" si="8"/>
        <v>#REF!</v>
      </c>
      <c r="V23" s="42" t="e">
        <f t="shared" si="8"/>
        <v>#REF!</v>
      </c>
      <c r="W23" s="42" t="e">
        <f t="shared" si="8"/>
        <v>#REF!</v>
      </c>
      <c r="X23" s="42" t="e">
        <f t="shared" si="8"/>
        <v>#REF!</v>
      </c>
      <c r="Y23" s="42" t="e">
        <f t="shared" si="8"/>
        <v>#REF!</v>
      </c>
      <c r="Z23" s="240" t="e">
        <f t="shared" si="8"/>
        <v>#REF!</v>
      </c>
      <c r="AA23" s="240" t="e">
        <f t="shared" si="8"/>
        <v>#REF!</v>
      </c>
      <c r="AB23" s="42" t="e">
        <f t="shared" si="8"/>
        <v>#REF!</v>
      </c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Q23" s="42"/>
      <c r="AR23" s="41" t="e">
        <f>AVERAGE(I23:AB23)</f>
        <v>#REF!</v>
      </c>
    </row>
    <row r="24" spans="1:45">
      <c r="C24" s="24" t="s">
        <v>200</v>
      </c>
      <c r="D24" s="80">
        <v>22</v>
      </c>
      <c r="E24" s="21" t="s">
        <v>201</v>
      </c>
      <c r="F24" s="42"/>
      <c r="G24" s="42"/>
      <c r="H24" s="42">
        <f>$D24</f>
        <v>22</v>
      </c>
      <c r="I24" s="42">
        <f t="shared" ref="I24:AO24" si="9">$D24</f>
        <v>22</v>
      </c>
      <c r="J24" s="42">
        <f t="shared" si="9"/>
        <v>22</v>
      </c>
      <c r="K24" s="42">
        <f t="shared" si="9"/>
        <v>22</v>
      </c>
      <c r="L24" s="42">
        <f t="shared" si="9"/>
        <v>22</v>
      </c>
      <c r="M24" s="42">
        <f t="shared" si="9"/>
        <v>22</v>
      </c>
      <c r="N24" s="42">
        <f t="shared" si="9"/>
        <v>22</v>
      </c>
      <c r="O24" s="42">
        <f t="shared" si="9"/>
        <v>22</v>
      </c>
      <c r="P24" s="42">
        <f t="shared" si="9"/>
        <v>22</v>
      </c>
      <c r="Q24" s="42">
        <f t="shared" si="9"/>
        <v>22</v>
      </c>
      <c r="R24" s="42">
        <f t="shared" si="9"/>
        <v>22</v>
      </c>
      <c r="S24" s="42">
        <f t="shared" si="9"/>
        <v>22</v>
      </c>
      <c r="T24" s="42">
        <f t="shared" si="9"/>
        <v>22</v>
      </c>
      <c r="U24" s="42">
        <f t="shared" si="9"/>
        <v>22</v>
      </c>
      <c r="V24" s="42">
        <f t="shared" si="9"/>
        <v>22</v>
      </c>
      <c r="W24" s="42">
        <f t="shared" si="9"/>
        <v>22</v>
      </c>
      <c r="X24" s="42">
        <f t="shared" si="9"/>
        <v>22</v>
      </c>
      <c r="Y24" s="42">
        <f t="shared" si="9"/>
        <v>22</v>
      </c>
      <c r="Z24" s="240">
        <f t="shared" si="9"/>
        <v>22</v>
      </c>
      <c r="AA24" s="240">
        <f t="shared" si="9"/>
        <v>22</v>
      </c>
      <c r="AB24" s="42">
        <f t="shared" si="9"/>
        <v>22</v>
      </c>
      <c r="AC24" s="42">
        <f t="shared" si="9"/>
        <v>22</v>
      </c>
      <c r="AD24" s="42">
        <f t="shared" si="9"/>
        <v>22</v>
      </c>
      <c r="AE24" s="42">
        <f t="shared" si="9"/>
        <v>22</v>
      </c>
      <c r="AF24" s="42">
        <f t="shared" si="9"/>
        <v>22</v>
      </c>
      <c r="AG24" s="42">
        <f t="shared" si="9"/>
        <v>22</v>
      </c>
      <c r="AH24" s="42">
        <f t="shared" si="9"/>
        <v>22</v>
      </c>
      <c r="AI24" s="42">
        <f t="shared" si="9"/>
        <v>22</v>
      </c>
      <c r="AJ24" s="42">
        <f t="shared" si="9"/>
        <v>22</v>
      </c>
      <c r="AK24" s="42">
        <f t="shared" si="9"/>
        <v>22</v>
      </c>
      <c r="AL24" s="42">
        <f t="shared" si="9"/>
        <v>22</v>
      </c>
      <c r="AM24" s="42">
        <f t="shared" si="9"/>
        <v>22</v>
      </c>
      <c r="AN24" s="42">
        <f t="shared" si="9"/>
        <v>22</v>
      </c>
      <c r="AO24" s="42">
        <f t="shared" si="9"/>
        <v>22</v>
      </c>
      <c r="AQ24" s="42"/>
      <c r="AR24" s="41"/>
    </row>
    <row r="25" spans="1:45">
      <c r="C25" s="24" t="s">
        <v>26</v>
      </c>
      <c r="D25" s="71">
        <v>0.75</v>
      </c>
      <c r="E25" s="21" t="s">
        <v>27</v>
      </c>
      <c r="F25" s="44"/>
      <c r="G25" s="44"/>
      <c r="H25" s="44">
        <f>$D$25</f>
        <v>0.75</v>
      </c>
      <c r="I25" s="44">
        <f>$D$25</f>
        <v>0.75</v>
      </c>
      <c r="J25" s="44">
        <f t="shared" ref="J25:AB25" si="10">$D$25</f>
        <v>0.75</v>
      </c>
      <c r="K25" s="44">
        <f t="shared" si="10"/>
        <v>0.75</v>
      </c>
      <c r="L25" s="44">
        <f t="shared" si="10"/>
        <v>0.75</v>
      </c>
      <c r="M25" s="44">
        <f t="shared" si="10"/>
        <v>0.75</v>
      </c>
      <c r="N25" s="44">
        <f t="shared" si="10"/>
        <v>0.75</v>
      </c>
      <c r="O25" s="44">
        <f t="shared" si="10"/>
        <v>0.75</v>
      </c>
      <c r="P25" s="44">
        <f t="shared" si="10"/>
        <v>0.75</v>
      </c>
      <c r="Q25" s="44">
        <f t="shared" si="10"/>
        <v>0.75</v>
      </c>
      <c r="R25" s="44">
        <f t="shared" si="10"/>
        <v>0.75</v>
      </c>
      <c r="S25" s="44">
        <f t="shared" si="10"/>
        <v>0.75</v>
      </c>
      <c r="T25" s="44">
        <f t="shared" si="10"/>
        <v>0.75</v>
      </c>
      <c r="U25" s="44">
        <f t="shared" si="10"/>
        <v>0.75</v>
      </c>
      <c r="V25" s="44">
        <f t="shared" si="10"/>
        <v>0.75</v>
      </c>
      <c r="W25" s="44">
        <f t="shared" si="10"/>
        <v>0.75</v>
      </c>
      <c r="X25" s="44">
        <f t="shared" si="10"/>
        <v>0.75</v>
      </c>
      <c r="Y25" s="44">
        <f t="shared" si="10"/>
        <v>0.75</v>
      </c>
      <c r="Z25" s="241">
        <f t="shared" si="10"/>
        <v>0.75</v>
      </c>
      <c r="AA25" s="241">
        <f t="shared" si="10"/>
        <v>0.75</v>
      </c>
      <c r="AB25" s="44">
        <f t="shared" si="10"/>
        <v>0.75</v>
      </c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Q25" s="44"/>
      <c r="AR25" s="75">
        <f>AVERAGE(I25:AB25)</f>
        <v>0.75</v>
      </c>
    </row>
    <row r="26" spans="1:45">
      <c r="C26" s="24" t="s">
        <v>28</v>
      </c>
      <c r="D26" s="43"/>
      <c r="E26" s="21"/>
      <c r="F26" s="44"/>
      <c r="G26" s="44"/>
      <c r="H26" s="42">
        <v>12</v>
      </c>
      <c r="I26" s="42">
        <v>12</v>
      </c>
      <c r="J26" s="42">
        <v>12</v>
      </c>
      <c r="K26" s="42">
        <v>12</v>
      </c>
      <c r="L26" s="42">
        <v>12</v>
      </c>
      <c r="M26" s="42">
        <v>12</v>
      </c>
      <c r="N26" s="42">
        <v>12</v>
      </c>
      <c r="O26" s="42">
        <v>12</v>
      </c>
      <c r="P26" s="72">
        <v>10</v>
      </c>
      <c r="Q26" s="72">
        <v>10</v>
      </c>
      <c r="R26" s="42">
        <v>12</v>
      </c>
      <c r="S26" s="42">
        <v>12</v>
      </c>
      <c r="T26" s="42">
        <v>12</v>
      </c>
      <c r="U26" s="42">
        <v>12</v>
      </c>
      <c r="V26" s="42">
        <v>12</v>
      </c>
      <c r="W26" s="42">
        <v>12</v>
      </c>
      <c r="X26" s="42">
        <v>12</v>
      </c>
      <c r="Y26" s="42">
        <v>12</v>
      </c>
      <c r="Z26" s="240">
        <v>12</v>
      </c>
      <c r="AA26" s="240">
        <v>12</v>
      </c>
      <c r="AB26" s="42">
        <v>12</v>
      </c>
      <c r="AC26" s="72"/>
      <c r="AD26" s="7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Q26" s="27">
        <f>SUM(I26:AB26)</f>
        <v>236</v>
      </c>
      <c r="AR26" s="76">
        <f>AVERAGE(I26:AB26)</f>
        <v>11.8</v>
      </c>
    </row>
    <row r="27" spans="1:45">
      <c r="C27" s="24" t="s">
        <v>29</v>
      </c>
      <c r="D27" s="28"/>
      <c r="E27" s="21"/>
      <c r="F27" s="45">
        <v>0</v>
      </c>
      <c r="G27" s="45">
        <v>0</v>
      </c>
      <c r="H27" s="45" t="e">
        <f>H28/H16</f>
        <v>#REF!</v>
      </c>
      <c r="I27" s="45" t="e">
        <f>I28/I16</f>
        <v>#REF!</v>
      </c>
      <c r="J27" s="45" t="e">
        <f t="shared" ref="J27:AB27" si="11">J28/J16</f>
        <v>#REF!</v>
      </c>
      <c r="K27" s="45" t="e">
        <f t="shared" si="11"/>
        <v>#REF!</v>
      </c>
      <c r="L27" s="45" t="e">
        <f t="shared" si="11"/>
        <v>#REF!</v>
      </c>
      <c r="M27" s="45" t="e">
        <f t="shared" si="11"/>
        <v>#REF!</v>
      </c>
      <c r="N27" s="45" t="e">
        <f t="shared" si="11"/>
        <v>#REF!</v>
      </c>
      <c r="O27" s="45" t="e">
        <f t="shared" si="11"/>
        <v>#REF!</v>
      </c>
      <c r="P27" s="45" t="e">
        <f t="shared" si="11"/>
        <v>#REF!</v>
      </c>
      <c r="Q27" s="45" t="e">
        <f t="shared" si="11"/>
        <v>#REF!</v>
      </c>
      <c r="R27" s="45" t="e">
        <f t="shared" si="11"/>
        <v>#REF!</v>
      </c>
      <c r="S27" s="45" t="e">
        <f t="shared" si="11"/>
        <v>#REF!</v>
      </c>
      <c r="T27" s="45" t="e">
        <f t="shared" si="11"/>
        <v>#REF!</v>
      </c>
      <c r="U27" s="45" t="e">
        <f t="shared" si="11"/>
        <v>#REF!</v>
      </c>
      <c r="V27" s="45" t="e">
        <f t="shared" si="11"/>
        <v>#REF!</v>
      </c>
      <c r="W27" s="45" t="e">
        <f t="shared" si="11"/>
        <v>#REF!</v>
      </c>
      <c r="X27" s="45" t="e">
        <f t="shared" si="11"/>
        <v>#REF!</v>
      </c>
      <c r="Y27" s="45" t="e">
        <f t="shared" si="11"/>
        <v>#REF!</v>
      </c>
      <c r="Z27" s="82" t="e">
        <f t="shared" si="11"/>
        <v>#REF!</v>
      </c>
      <c r="AA27" s="82" t="e">
        <f t="shared" si="11"/>
        <v>#REF!</v>
      </c>
      <c r="AB27" s="45" t="e">
        <f t="shared" si="11"/>
        <v>#REF!</v>
      </c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Q27" s="27"/>
      <c r="AR27" s="76" t="e">
        <f>AVERAGE(I27:AB27)</f>
        <v>#REF!</v>
      </c>
    </row>
    <row r="28" spans="1:45">
      <c r="C28" s="24" t="s">
        <v>204</v>
      </c>
      <c r="D28" s="28"/>
      <c r="E28" s="21"/>
      <c r="F28" s="45"/>
      <c r="G28" s="45"/>
      <c r="H28" s="45" t="e">
        <f>H22*H23*H25*H14*H17</f>
        <v>#REF!</v>
      </c>
      <c r="I28" s="45" t="e">
        <f t="shared" ref="I28:AB28" si="12">I22*I23*I25*I14*I17</f>
        <v>#REF!</v>
      </c>
      <c r="J28" s="45" t="e">
        <f t="shared" si="12"/>
        <v>#REF!</v>
      </c>
      <c r="K28" s="45" t="e">
        <f t="shared" si="12"/>
        <v>#REF!</v>
      </c>
      <c r="L28" s="45" t="e">
        <f t="shared" si="12"/>
        <v>#REF!</v>
      </c>
      <c r="M28" s="45" t="e">
        <f t="shared" si="12"/>
        <v>#REF!</v>
      </c>
      <c r="N28" s="45" t="e">
        <f t="shared" si="12"/>
        <v>#REF!</v>
      </c>
      <c r="O28" s="45" t="e">
        <f t="shared" si="12"/>
        <v>#REF!</v>
      </c>
      <c r="P28" s="45" t="e">
        <f t="shared" si="12"/>
        <v>#REF!</v>
      </c>
      <c r="Q28" s="45" t="e">
        <f t="shared" si="12"/>
        <v>#REF!</v>
      </c>
      <c r="R28" s="45" t="e">
        <f t="shared" si="12"/>
        <v>#REF!</v>
      </c>
      <c r="S28" s="45" t="e">
        <f t="shared" si="12"/>
        <v>#REF!</v>
      </c>
      <c r="T28" s="45" t="e">
        <f t="shared" si="12"/>
        <v>#REF!</v>
      </c>
      <c r="U28" s="45" t="e">
        <f t="shared" si="12"/>
        <v>#REF!</v>
      </c>
      <c r="V28" s="45" t="e">
        <f t="shared" si="12"/>
        <v>#REF!</v>
      </c>
      <c r="W28" s="45" t="e">
        <f t="shared" si="12"/>
        <v>#REF!</v>
      </c>
      <c r="X28" s="45" t="e">
        <f t="shared" si="12"/>
        <v>#REF!</v>
      </c>
      <c r="Y28" s="45" t="e">
        <f t="shared" si="12"/>
        <v>#REF!</v>
      </c>
      <c r="Z28" s="82" t="e">
        <f t="shared" si="12"/>
        <v>#REF!</v>
      </c>
      <c r="AA28" s="82" t="e">
        <f t="shared" si="12"/>
        <v>#REF!</v>
      </c>
      <c r="AB28" s="45" t="e">
        <f t="shared" si="12"/>
        <v>#REF!</v>
      </c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Q28" s="27"/>
      <c r="AR28" s="76"/>
    </row>
    <row r="29" spans="1:45">
      <c r="A29" s="22">
        <v>0</v>
      </c>
      <c r="C29" s="24" t="s">
        <v>30</v>
      </c>
      <c r="D29" s="28"/>
      <c r="E29" s="21"/>
      <c r="F29" s="45">
        <v>0</v>
      </c>
      <c r="G29" s="45">
        <v>0</v>
      </c>
      <c r="H29" s="45" t="e">
        <f>(H27*#REF!*H26)</f>
        <v>#REF!</v>
      </c>
      <c r="I29" s="45" t="e">
        <f>(I27*#REF!*I26)</f>
        <v>#REF!</v>
      </c>
      <c r="J29" s="45" t="e">
        <f>(J27*#REF!*J26)</f>
        <v>#REF!</v>
      </c>
      <c r="K29" s="45" t="e">
        <f>(K27*#REF!*K26)</f>
        <v>#REF!</v>
      </c>
      <c r="L29" s="45" t="e">
        <f>(L27*#REF!*L26)</f>
        <v>#REF!</v>
      </c>
      <c r="M29" s="45" t="e">
        <f>(M27*#REF!*M26)</f>
        <v>#REF!</v>
      </c>
      <c r="N29" s="45" t="e">
        <f>(N27*#REF!*N26)</f>
        <v>#REF!</v>
      </c>
      <c r="O29" s="45" t="e">
        <f>(O27*#REF!*O26)</f>
        <v>#REF!</v>
      </c>
      <c r="P29" s="45" t="e">
        <f>(P27*#REF!*P26)</f>
        <v>#REF!</v>
      </c>
      <c r="Q29" s="45" t="e">
        <f>(Q27*#REF!*Q26)</f>
        <v>#REF!</v>
      </c>
      <c r="R29" s="45" t="e">
        <f>(R27*#REF!*R26)</f>
        <v>#REF!</v>
      </c>
      <c r="S29" s="45" t="e">
        <f>(S27*#REF!*S26)</f>
        <v>#REF!</v>
      </c>
      <c r="T29" s="45" t="e">
        <f>(T27*#REF!*T26)</f>
        <v>#REF!</v>
      </c>
      <c r="U29" s="45" t="e">
        <f>(U27*#REF!*U26)</f>
        <v>#REF!</v>
      </c>
      <c r="V29" s="45" t="e">
        <f>(V27*#REF!*V26)</f>
        <v>#REF!</v>
      </c>
      <c r="W29" s="45" t="e">
        <f>(W27*#REF!*W26)</f>
        <v>#REF!</v>
      </c>
      <c r="X29" s="45" t="e">
        <f>(X27*#REF!*X26)</f>
        <v>#REF!</v>
      </c>
      <c r="Y29" s="45" t="e">
        <f>(Y27*#REF!*Y26)</f>
        <v>#REF!</v>
      </c>
      <c r="Z29" s="82" t="e">
        <f>(Z27*#REF!*Z26)</f>
        <v>#REF!</v>
      </c>
      <c r="AA29" s="82" t="e">
        <f>(AA27*#REF!*AA26)</f>
        <v>#REF!</v>
      </c>
      <c r="AB29" s="45" t="e">
        <f>(AB27*#REF!*AB26)</f>
        <v>#REF!</v>
      </c>
      <c r="AC29" s="45" t="e">
        <f>(AC27*#REF!*AC26)</f>
        <v>#REF!</v>
      </c>
      <c r="AD29" s="45" t="e">
        <f>(AD27*#REF!*AD26)</f>
        <v>#REF!</v>
      </c>
      <c r="AE29" s="45" t="e">
        <f>(AE27*#REF!*AE26)</f>
        <v>#REF!</v>
      </c>
      <c r="AF29" s="45" t="e">
        <f>(AF27*#REF!*AF26)</f>
        <v>#REF!</v>
      </c>
      <c r="AG29" s="45" t="e">
        <f>(AG27*#REF!*AG26)</f>
        <v>#REF!</v>
      </c>
      <c r="AH29" s="45" t="e">
        <f>(AH27*#REF!*AH26)</f>
        <v>#REF!</v>
      </c>
      <c r="AI29" s="45" t="e">
        <f>(AI27*#REF!*AI26)</f>
        <v>#REF!</v>
      </c>
      <c r="AJ29" s="45" t="e">
        <f>(AJ27*#REF!*AJ26)</f>
        <v>#REF!</v>
      </c>
      <c r="AK29" s="45" t="e">
        <f>(AK27*#REF!*AK26)</f>
        <v>#REF!</v>
      </c>
      <c r="AL29" s="45" t="e">
        <f>(AL27*#REF!*AL26)</f>
        <v>#REF!</v>
      </c>
      <c r="AM29" s="45" t="e">
        <f>(AM27*#REF!*AM26)</f>
        <v>#REF!</v>
      </c>
      <c r="AN29" s="45" t="e">
        <f>(AN27*#REF!*AN26)</f>
        <v>#REF!</v>
      </c>
      <c r="AO29" s="45" t="e">
        <f>(AO27*#REF!*AO26)</f>
        <v>#REF!</v>
      </c>
      <c r="AQ29" s="27" t="e">
        <f>SUM(I29:AB29)</f>
        <v>#REF!</v>
      </c>
      <c r="AR29" s="77" t="e">
        <f>AVERAGE(I29:AB29)</f>
        <v>#REF!</v>
      </c>
    </row>
    <row r="30" spans="1:45" ht="5.0999999999999996" customHeight="1"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84"/>
      <c r="AA30" s="8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Q30" s="32"/>
      <c r="AR30" s="32"/>
    </row>
    <row r="31" spans="1:45">
      <c r="C31" s="21" t="s">
        <v>31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84"/>
      <c r="AA31" s="84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Q31" s="32"/>
      <c r="AR31" s="32"/>
    </row>
    <row r="32" spans="1:45">
      <c r="C32" s="24" t="s">
        <v>32</v>
      </c>
      <c r="F32" s="45">
        <v>0</v>
      </c>
      <c r="G32" s="45">
        <v>0</v>
      </c>
      <c r="H32" s="45" t="e">
        <f t="shared" ref="H32:AB32" si="13">MIN(H12,H27)</f>
        <v>#REF!</v>
      </c>
      <c r="I32" s="45" t="e">
        <f t="shared" si="13"/>
        <v>#REF!</v>
      </c>
      <c r="J32" s="45" t="e">
        <f t="shared" si="13"/>
        <v>#REF!</v>
      </c>
      <c r="K32" s="45" t="e">
        <f t="shared" si="13"/>
        <v>#REF!</v>
      </c>
      <c r="L32" s="45" t="e">
        <f t="shared" si="13"/>
        <v>#REF!</v>
      </c>
      <c r="M32" s="45" t="e">
        <f t="shared" si="13"/>
        <v>#REF!</v>
      </c>
      <c r="N32" s="45" t="e">
        <f t="shared" si="13"/>
        <v>#REF!</v>
      </c>
      <c r="O32" s="45" t="e">
        <f t="shared" si="13"/>
        <v>#REF!</v>
      </c>
      <c r="P32" s="45" t="e">
        <f t="shared" si="13"/>
        <v>#REF!</v>
      </c>
      <c r="Q32" s="45" t="e">
        <f t="shared" si="13"/>
        <v>#REF!</v>
      </c>
      <c r="R32" s="45" t="e">
        <f t="shared" si="13"/>
        <v>#REF!</v>
      </c>
      <c r="S32" s="45" t="e">
        <f t="shared" si="13"/>
        <v>#REF!</v>
      </c>
      <c r="T32" s="45" t="e">
        <f t="shared" si="13"/>
        <v>#REF!</v>
      </c>
      <c r="U32" s="45" t="e">
        <f t="shared" si="13"/>
        <v>#REF!</v>
      </c>
      <c r="V32" s="45" t="e">
        <f t="shared" si="13"/>
        <v>#REF!</v>
      </c>
      <c r="W32" s="45" t="e">
        <f t="shared" si="13"/>
        <v>#REF!</v>
      </c>
      <c r="X32" s="45" t="e">
        <f t="shared" si="13"/>
        <v>#REF!</v>
      </c>
      <c r="Y32" s="45" t="e">
        <f t="shared" si="13"/>
        <v>#REF!</v>
      </c>
      <c r="Z32" s="82" t="e">
        <f t="shared" si="13"/>
        <v>#REF!</v>
      </c>
      <c r="AA32" s="82" t="e">
        <f t="shared" si="13"/>
        <v>#REF!</v>
      </c>
      <c r="AB32" s="81" t="e">
        <f t="shared" si="13"/>
        <v>#REF!</v>
      </c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Q32" s="45"/>
      <c r="AR32" s="77" t="e">
        <f>AVERAGE(H32:AA32)</f>
        <v>#REF!</v>
      </c>
      <c r="AS32" s="46" t="e">
        <f>AR32/AR27</f>
        <v>#REF!</v>
      </c>
    </row>
    <row r="33" spans="2:45">
      <c r="C33" s="24" t="s">
        <v>33</v>
      </c>
      <c r="F33" s="45">
        <v>0</v>
      </c>
      <c r="G33" s="45">
        <v>0</v>
      </c>
      <c r="H33" s="45" t="e">
        <f>IF(H27&gt;H12,H12*#REF!*H26,0)</f>
        <v>#REF!</v>
      </c>
      <c r="I33" s="45" t="e">
        <f>IF(I27&gt;I12,I12*#REF!*I26,0)</f>
        <v>#REF!</v>
      </c>
      <c r="J33" s="45" t="e">
        <f>IF(J27&gt;J12,J12*#REF!*J26,0)</f>
        <v>#REF!</v>
      </c>
      <c r="K33" s="45" t="e">
        <f>IF(K27&gt;K12,K12*#REF!*K26,0)</f>
        <v>#REF!</v>
      </c>
      <c r="L33" s="45" t="e">
        <f>IF(L27&gt;L12,L12*#REF!*L26,0)</f>
        <v>#REF!</v>
      </c>
      <c r="M33" s="45" t="e">
        <f>IF(M27&gt;M12,M12*#REF!*M26,0)</f>
        <v>#REF!</v>
      </c>
      <c r="N33" s="45" t="e">
        <f>IF(N27&gt;N12,N12*#REF!*N26,0)</f>
        <v>#REF!</v>
      </c>
      <c r="O33" s="45" t="e">
        <f>IF(O27&gt;O12,O12*#REF!*O26,0)</f>
        <v>#REF!</v>
      </c>
      <c r="P33" s="45" t="e">
        <f>IF(P27&gt;P12,P12*#REF!*P26,0)</f>
        <v>#REF!</v>
      </c>
      <c r="Q33" s="45" t="e">
        <f>IF(Q27&gt;Q12,Q12*#REF!*Q26,0)</f>
        <v>#REF!</v>
      </c>
      <c r="R33" s="45" t="e">
        <f>IF(R27&gt;R12,R12*#REF!*R26,0)</f>
        <v>#REF!</v>
      </c>
      <c r="S33" s="45" t="e">
        <f>IF(S27&gt;S12,S12*#REF!*S26,0)</f>
        <v>#REF!</v>
      </c>
      <c r="T33" s="45" t="e">
        <f>IF(T27&gt;T12,T12*#REF!*T26,0)</f>
        <v>#REF!</v>
      </c>
      <c r="U33" s="45" t="e">
        <f>IF(U27&gt;U12,U12*#REF!*U26,0)</f>
        <v>#REF!</v>
      </c>
      <c r="V33" s="45" t="e">
        <f>IF(V27&gt;V12,V12*#REF!*V26,0)</f>
        <v>#REF!</v>
      </c>
      <c r="W33" s="45" t="e">
        <f>IF(W27&gt;W12,W12*#REF!*W26,0)</f>
        <v>#REF!</v>
      </c>
      <c r="X33" s="45" t="e">
        <f>IF(X27&gt;X12,X12*#REF!*X26,0)</f>
        <v>#REF!</v>
      </c>
      <c r="Y33" s="45" t="e">
        <f>IF(Y27&gt;Y12,Y12*#REF!*Y26,0)</f>
        <v>#REF!</v>
      </c>
      <c r="Z33" s="82" t="e">
        <f>IF(Z27&gt;Z12,Z12*#REF!*Z26,0)</f>
        <v>#REF!</v>
      </c>
      <c r="AA33" s="82" t="e">
        <f>IF(AA27&gt;AA12,AA12*#REF!*AA26,0)</f>
        <v>#REF!</v>
      </c>
      <c r="AB33" s="45" t="e">
        <f>AB27*#REF!*AB26</f>
        <v>#REF!</v>
      </c>
      <c r="AC33" s="45">
        <f>IF(AC27&gt;AC12,AC12*#REF!*AC26,0)</f>
        <v>0</v>
      </c>
      <c r="AD33" s="45">
        <f>IF(AD27&gt;AD12,AD12*#REF!*AD26,0)</f>
        <v>0</v>
      </c>
      <c r="AE33" s="45">
        <f>IF(AE27&gt;AE12,AE12*#REF!*AE26,0)</f>
        <v>0</v>
      </c>
      <c r="AF33" s="45">
        <f>IF(AF27&gt;AF12,AF12*#REF!*AF26,0)</f>
        <v>0</v>
      </c>
      <c r="AG33" s="45">
        <f>IF(AG27&gt;AG12,AG12*#REF!*AG26,0)</f>
        <v>0</v>
      </c>
      <c r="AH33" s="45">
        <f>IF(AH27&gt;AH12,AH12*#REF!*AH26,0)</f>
        <v>0</v>
      </c>
      <c r="AI33" s="45">
        <f>IF(AI27&gt;AI12,AI12*#REF!*AI26,0)</f>
        <v>0</v>
      </c>
      <c r="AJ33" s="45">
        <f>IF(AJ27&gt;AJ12,AJ12*#REF!*AJ26,0)</f>
        <v>0</v>
      </c>
      <c r="AK33" s="45">
        <f>IF(AK27&gt;AK12,AK12*#REF!*AK26,0)</f>
        <v>0</v>
      </c>
      <c r="AL33" s="45">
        <f>IF(AL27&gt;AL12,AL12*#REF!*AL26,0)</f>
        <v>0</v>
      </c>
      <c r="AM33" s="45">
        <f>IF(AM27&gt;AM12,AM12*#REF!*AM26,0)</f>
        <v>0</v>
      </c>
      <c r="AN33" s="45">
        <f>IF(AN27&gt;AN12,AN12*#REF!*AN26,0)</f>
        <v>0</v>
      </c>
      <c r="AO33" s="45">
        <f>IF(AO27&gt;AO12,AO12*#REF!*AO26,0)</f>
        <v>0</v>
      </c>
      <c r="AQ33" s="27" t="e">
        <f>SUM(I33:AB33)</f>
        <v>#REF!</v>
      </c>
      <c r="AR33" s="77" t="e">
        <f>AVERAGE(H33:AA33)</f>
        <v>#REF!</v>
      </c>
    </row>
    <row r="34" spans="2:45" ht="5.0999999999999996" customHeight="1"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84"/>
      <c r="AA34" s="84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Q34" s="32"/>
      <c r="AR34" s="32"/>
    </row>
    <row r="35" spans="2:45">
      <c r="C35" s="24" t="s">
        <v>34</v>
      </c>
      <c r="D35" s="5"/>
      <c r="F35" s="45">
        <v>0</v>
      </c>
      <c r="G35" s="45">
        <v>0</v>
      </c>
      <c r="H35" s="82" t="e">
        <f>H36/H26/#REF!</f>
        <v>#REF!</v>
      </c>
      <c r="I35" s="82" t="e">
        <f>I36/I26/#REF!</f>
        <v>#REF!</v>
      </c>
      <c r="J35" s="82" t="e">
        <f>J36/J26/#REF!</f>
        <v>#REF!</v>
      </c>
      <c r="K35" s="82" t="e">
        <f>K36/K26/#REF!</f>
        <v>#REF!</v>
      </c>
      <c r="L35" s="82" t="e">
        <f>L36/L26/#REF!</f>
        <v>#REF!</v>
      </c>
      <c r="M35" s="82" t="e">
        <f>M36/M26/#REF!</f>
        <v>#REF!</v>
      </c>
      <c r="N35" s="82" t="e">
        <f>N36/N26/#REF!</f>
        <v>#REF!</v>
      </c>
      <c r="O35" s="82" t="e">
        <f>O36/O26/#REF!</f>
        <v>#REF!</v>
      </c>
      <c r="P35" s="82" t="e">
        <f>P36/P26/#REF!</f>
        <v>#REF!</v>
      </c>
      <c r="Q35" s="82" t="e">
        <f>Q36/Q26/#REF!</f>
        <v>#REF!</v>
      </c>
      <c r="R35" s="82" t="e">
        <f>R36/R26/#REF!</f>
        <v>#REF!</v>
      </c>
      <c r="S35" s="82" t="e">
        <f>S36/S26/#REF!</f>
        <v>#REF!</v>
      </c>
      <c r="T35" s="82" t="e">
        <f>T36/T26/#REF!</f>
        <v>#REF!</v>
      </c>
      <c r="U35" s="82" t="e">
        <f>U36/U26/#REF!</f>
        <v>#REF!</v>
      </c>
      <c r="V35" s="82" t="e">
        <f>V36/V26/#REF!</f>
        <v>#REF!</v>
      </c>
      <c r="W35" s="82" t="e">
        <f>W36/W26/#REF!</f>
        <v>#REF!</v>
      </c>
      <c r="X35" s="82" t="e">
        <f>X36/X26/#REF!</f>
        <v>#REF!</v>
      </c>
      <c r="Y35" s="82" t="e">
        <f>Y36/Y26/#REF!</f>
        <v>#REF!</v>
      </c>
      <c r="Z35" s="82" t="e">
        <f>Z36/Z26/#REF!</f>
        <v>#REF!</v>
      </c>
      <c r="AA35" s="82" t="e">
        <f>AA36/AA26/#REF!</f>
        <v>#REF!</v>
      </c>
      <c r="AB35" s="82" t="e">
        <f>AB36/AB26/#REF!</f>
        <v>#REF!</v>
      </c>
      <c r="AC35" s="82" t="e">
        <f>AC36/AC26/#REF!</f>
        <v>#DIV/0!</v>
      </c>
      <c r="AD35" s="82" t="e">
        <f>AD36/AD26/#REF!</f>
        <v>#DIV/0!</v>
      </c>
      <c r="AE35" s="82" t="e">
        <f>AE36/AE26/#REF!</f>
        <v>#DIV/0!</v>
      </c>
      <c r="AF35" s="82" t="e">
        <f>AF36/AF26/#REF!</f>
        <v>#DIV/0!</v>
      </c>
      <c r="AG35" s="82" t="e">
        <f>AG36/AG26/#REF!</f>
        <v>#DIV/0!</v>
      </c>
      <c r="AH35" s="82" t="e">
        <f>AH36/AH26/#REF!</f>
        <v>#DIV/0!</v>
      </c>
      <c r="AI35" s="82" t="e">
        <f>AI36/AI26/#REF!</f>
        <v>#DIV/0!</v>
      </c>
      <c r="AJ35" s="82" t="e">
        <f>AJ36/AJ26/#REF!</f>
        <v>#DIV/0!</v>
      </c>
      <c r="AK35" s="82" t="e">
        <f>AK36/AK26/#REF!</f>
        <v>#DIV/0!</v>
      </c>
      <c r="AL35" s="82" t="e">
        <f>AL36/AL26/#REF!</f>
        <v>#DIV/0!</v>
      </c>
      <c r="AM35" s="82" t="e">
        <f>AM36/AM26/#REF!</f>
        <v>#DIV/0!</v>
      </c>
      <c r="AN35" s="82" t="e">
        <f>AN36/AN26/#REF!</f>
        <v>#DIV/0!</v>
      </c>
      <c r="AO35" s="82" t="e">
        <f>AO36/AO26/#REF!</f>
        <v>#DIV/0!</v>
      </c>
      <c r="AQ35" s="27" t="e">
        <f>SUM(H35:AA35)</f>
        <v>#REF!</v>
      </c>
      <c r="AR35" s="77" t="e">
        <f>AVERAGE(H35:AA35)</f>
        <v>#REF!</v>
      </c>
      <c r="AS35" s="46" t="e">
        <f>AR35/AR27</f>
        <v>#REF!</v>
      </c>
    </row>
    <row r="36" spans="2:45">
      <c r="C36" s="24" t="s">
        <v>35</v>
      </c>
      <c r="F36" s="45">
        <v>0</v>
      </c>
      <c r="G36" s="45">
        <v>0</v>
      </c>
      <c r="H36" s="82" t="e">
        <f t="shared" ref="H36:AB36" si="14">H11-H33</f>
        <v>#REF!</v>
      </c>
      <c r="I36" s="82" t="e">
        <f t="shared" si="14"/>
        <v>#REF!</v>
      </c>
      <c r="J36" s="82" t="e">
        <f t="shared" si="14"/>
        <v>#REF!</v>
      </c>
      <c r="K36" s="82" t="e">
        <f t="shared" si="14"/>
        <v>#REF!</v>
      </c>
      <c r="L36" s="82" t="e">
        <f t="shared" si="14"/>
        <v>#REF!</v>
      </c>
      <c r="M36" s="82" t="e">
        <f t="shared" si="14"/>
        <v>#REF!</v>
      </c>
      <c r="N36" s="82" t="e">
        <f t="shared" si="14"/>
        <v>#REF!</v>
      </c>
      <c r="O36" s="82" t="e">
        <f t="shared" si="14"/>
        <v>#REF!</v>
      </c>
      <c r="P36" s="82" t="e">
        <f t="shared" si="14"/>
        <v>#REF!</v>
      </c>
      <c r="Q36" s="82" t="e">
        <f t="shared" si="14"/>
        <v>#REF!</v>
      </c>
      <c r="R36" s="82" t="e">
        <f t="shared" si="14"/>
        <v>#REF!</v>
      </c>
      <c r="S36" s="82" t="e">
        <f t="shared" si="14"/>
        <v>#REF!</v>
      </c>
      <c r="T36" s="82" t="e">
        <f t="shared" si="14"/>
        <v>#REF!</v>
      </c>
      <c r="U36" s="82" t="e">
        <f t="shared" si="14"/>
        <v>#REF!</v>
      </c>
      <c r="V36" s="82" t="e">
        <f t="shared" si="14"/>
        <v>#REF!</v>
      </c>
      <c r="W36" s="82" t="e">
        <f t="shared" si="14"/>
        <v>#REF!</v>
      </c>
      <c r="X36" s="82" t="e">
        <f t="shared" si="14"/>
        <v>#REF!</v>
      </c>
      <c r="Y36" s="82" t="e">
        <f t="shared" si="14"/>
        <v>#REF!</v>
      </c>
      <c r="Z36" s="82" t="e">
        <f t="shared" si="14"/>
        <v>#REF!</v>
      </c>
      <c r="AA36" s="82" t="e">
        <f t="shared" si="14"/>
        <v>#REF!</v>
      </c>
      <c r="AB36" s="82" t="e">
        <f t="shared" si="14"/>
        <v>#REF!</v>
      </c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Q36" s="27" t="e">
        <f>SUM(H36:AA36)</f>
        <v>#REF!</v>
      </c>
      <c r="AR36" s="77" t="e">
        <f>AVERAGE(H36:AA36)</f>
        <v>#REF!</v>
      </c>
    </row>
    <row r="37" spans="2:45" ht="5.0999999999999996" customHeight="1"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84"/>
      <c r="AA37" s="84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Q37" s="32"/>
      <c r="AR37" s="32"/>
    </row>
    <row r="38" spans="2:45">
      <c r="C38" s="21" t="s">
        <v>36</v>
      </c>
      <c r="D38" s="47">
        <f>SUM(D39:D42)</f>
        <v>6.5000000000000002E-2</v>
      </c>
      <c r="E38" s="21" t="s">
        <v>37</v>
      </c>
      <c r="F38" s="48">
        <v>0</v>
      </c>
      <c r="G38" s="48">
        <v>0</v>
      </c>
      <c r="H38" s="48" t="e">
        <f>$D$38*H33</f>
        <v>#REF!</v>
      </c>
      <c r="I38" s="48" t="e">
        <f>$D$38*I33</f>
        <v>#REF!</v>
      </c>
      <c r="J38" s="48" t="e">
        <f>$D$38*J33</f>
        <v>#REF!</v>
      </c>
      <c r="K38" s="48" t="e">
        <f>$D$38*K33</f>
        <v>#REF!</v>
      </c>
      <c r="L38" s="48" t="e">
        <f t="shared" ref="L38:AA38" si="15">$D$38*L33</f>
        <v>#REF!</v>
      </c>
      <c r="M38" s="48" t="e">
        <f t="shared" si="15"/>
        <v>#REF!</v>
      </c>
      <c r="N38" s="48" t="e">
        <f t="shared" si="15"/>
        <v>#REF!</v>
      </c>
      <c r="O38" s="48" t="e">
        <f t="shared" si="15"/>
        <v>#REF!</v>
      </c>
      <c r="P38" s="48" t="e">
        <f t="shared" si="15"/>
        <v>#REF!</v>
      </c>
      <c r="Q38" s="48" t="e">
        <f t="shared" si="15"/>
        <v>#REF!</v>
      </c>
      <c r="R38" s="48" t="e">
        <f t="shared" si="15"/>
        <v>#REF!</v>
      </c>
      <c r="S38" s="48" t="e">
        <f t="shared" si="15"/>
        <v>#REF!</v>
      </c>
      <c r="T38" s="48" t="e">
        <f t="shared" si="15"/>
        <v>#REF!</v>
      </c>
      <c r="U38" s="48" t="e">
        <f t="shared" si="15"/>
        <v>#REF!</v>
      </c>
      <c r="V38" s="48" t="e">
        <f t="shared" si="15"/>
        <v>#REF!</v>
      </c>
      <c r="W38" s="48" t="e">
        <f t="shared" si="15"/>
        <v>#REF!</v>
      </c>
      <c r="X38" s="48" t="e">
        <f t="shared" si="15"/>
        <v>#REF!</v>
      </c>
      <c r="Y38" s="48" t="e">
        <f t="shared" si="15"/>
        <v>#REF!</v>
      </c>
      <c r="Z38" s="242" t="e">
        <f t="shared" si="15"/>
        <v>#REF!</v>
      </c>
      <c r="AA38" s="242" t="e">
        <f t="shared" si="15"/>
        <v>#REF!</v>
      </c>
      <c r="AB38" s="48" t="e">
        <f>$D$38*AB33</f>
        <v>#REF!</v>
      </c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Q38" s="27" t="e">
        <f>SUM(I38:AB38)</f>
        <v>#REF!</v>
      </c>
      <c r="AR38" s="77" t="e">
        <f>AVERAGE(I38:AB38)</f>
        <v>#REF!</v>
      </c>
      <c r="AS38" s="50">
        <v>0</v>
      </c>
    </row>
    <row r="39" spans="2:45">
      <c r="B39" s="51"/>
      <c r="C39" s="73" t="s">
        <v>38</v>
      </c>
      <c r="D39" s="53">
        <v>2.86E-2</v>
      </c>
      <c r="E39" s="22" t="s">
        <v>37</v>
      </c>
      <c r="F39" s="50">
        <v>0</v>
      </c>
      <c r="G39" s="50">
        <v>0</v>
      </c>
      <c r="H39" s="50" t="e">
        <f>H$33*$D$39</f>
        <v>#REF!</v>
      </c>
      <c r="I39" s="50" t="e">
        <f>I$33*$D$39</f>
        <v>#REF!</v>
      </c>
      <c r="J39" s="50" t="e">
        <f>J$33*$D$39</f>
        <v>#REF!</v>
      </c>
      <c r="K39" s="50" t="e">
        <f>K$33*$D$39</f>
        <v>#REF!</v>
      </c>
      <c r="L39" s="50" t="e">
        <f>L$33*$D$39</f>
        <v>#REF!</v>
      </c>
      <c r="M39" s="50" t="e">
        <f t="shared" ref="M39:AB39" si="16">M$33*$D$39</f>
        <v>#REF!</v>
      </c>
      <c r="N39" s="50" t="e">
        <f t="shared" si="16"/>
        <v>#REF!</v>
      </c>
      <c r="O39" s="50" t="e">
        <f t="shared" si="16"/>
        <v>#REF!</v>
      </c>
      <c r="P39" s="50" t="e">
        <f t="shared" si="16"/>
        <v>#REF!</v>
      </c>
      <c r="Q39" s="50" t="e">
        <f t="shared" si="16"/>
        <v>#REF!</v>
      </c>
      <c r="R39" s="50" t="e">
        <f t="shared" si="16"/>
        <v>#REF!</v>
      </c>
      <c r="S39" s="50" t="e">
        <f t="shared" si="16"/>
        <v>#REF!</v>
      </c>
      <c r="T39" s="50" t="e">
        <f t="shared" si="16"/>
        <v>#REF!</v>
      </c>
      <c r="U39" s="50" t="e">
        <f t="shared" si="16"/>
        <v>#REF!</v>
      </c>
      <c r="V39" s="50" t="e">
        <f t="shared" si="16"/>
        <v>#REF!</v>
      </c>
      <c r="W39" s="50" t="e">
        <f t="shared" si="16"/>
        <v>#REF!</v>
      </c>
      <c r="X39" s="50" t="e">
        <f t="shared" si="16"/>
        <v>#REF!</v>
      </c>
      <c r="Y39" s="50" t="e">
        <f t="shared" si="16"/>
        <v>#REF!</v>
      </c>
      <c r="Z39" s="243" t="e">
        <f t="shared" si="16"/>
        <v>#REF!</v>
      </c>
      <c r="AA39" s="243" t="e">
        <f t="shared" si="16"/>
        <v>#REF!</v>
      </c>
      <c r="AB39" s="50" t="e">
        <f t="shared" si="16"/>
        <v>#REF!</v>
      </c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Q39" s="27" t="e">
        <f>SUM(I39:AB39)</f>
        <v>#REF!</v>
      </c>
      <c r="AR39" s="77" t="e">
        <f>AVERAGE(I39:AB39)</f>
        <v>#REF!</v>
      </c>
      <c r="AS39" s="22" t="s">
        <v>38</v>
      </c>
    </row>
    <row r="40" spans="2:45">
      <c r="B40" s="51"/>
      <c r="C40" s="73" t="s">
        <v>39</v>
      </c>
      <c r="D40" s="53">
        <v>2.2000000000000001E-3</v>
      </c>
      <c r="E40" s="22" t="s">
        <v>37</v>
      </c>
      <c r="F40" s="50">
        <v>0</v>
      </c>
      <c r="G40" s="50">
        <v>0</v>
      </c>
      <c r="H40" s="50" t="e">
        <f>H$33*$D$40</f>
        <v>#REF!</v>
      </c>
      <c r="I40" s="50" t="e">
        <f>I$33*$D$40</f>
        <v>#REF!</v>
      </c>
      <c r="J40" s="50" t="e">
        <f t="shared" ref="J40:AA40" si="17">J$33*$D$40</f>
        <v>#REF!</v>
      </c>
      <c r="K40" s="50" t="e">
        <f t="shared" si="17"/>
        <v>#REF!</v>
      </c>
      <c r="L40" s="50" t="e">
        <f t="shared" si="17"/>
        <v>#REF!</v>
      </c>
      <c r="M40" s="50" t="e">
        <f t="shared" si="17"/>
        <v>#REF!</v>
      </c>
      <c r="N40" s="50" t="e">
        <f t="shared" si="17"/>
        <v>#REF!</v>
      </c>
      <c r="O40" s="50" t="e">
        <f t="shared" si="17"/>
        <v>#REF!</v>
      </c>
      <c r="P40" s="50" t="e">
        <f t="shared" si="17"/>
        <v>#REF!</v>
      </c>
      <c r="Q40" s="50" t="e">
        <f t="shared" si="17"/>
        <v>#REF!</v>
      </c>
      <c r="R40" s="50" t="e">
        <f t="shared" si="17"/>
        <v>#REF!</v>
      </c>
      <c r="S40" s="50" t="e">
        <f t="shared" si="17"/>
        <v>#REF!</v>
      </c>
      <c r="T40" s="50" t="e">
        <f t="shared" si="17"/>
        <v>#REF!</v>
      </c>
      <c r="U40" s="50" t="e">
        <f t="shared" si="17"/>
        <v>#REF!</v>
      </c>
      <c r="V40" s="50" t="e">
        <f t="shared" si="17"/>
        <v>#REF!</v>
      </c>
      <c r="W40" s="50" t="e">
        <f t="shared" si="17"/>
        <v>#REF!</v>
      </c>
      <c r="X40" s="50" t="e">
        <f t="shared" si="17"/>
        <v>#REF!</v>
      </c>
      <c r="Y40" s="50" t="e">
        <f t="shared" si="17"/>
        <v>#REF!</v>
      </c>
      <c r="Z40" s="243" t="e">
        <f t="shared" si="17"/>
        <v>#REF!</v>
      </c>
      <c r="AA40" s="243" t="e">
        <f t="shared" si="17"/>
        <v>#REF!</v>
      </c>
      <c r="AB40" s="50" t="e">
        <f>AB$33*$D$40</f>
        <v>#REF!</v>
      </c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Q40" s="27" t="e">
        <f>SUM(I40:AB40)</f>
        <v>#REF!</v>
      </c>
      <c r="AR40" s="77" t="e">
        <f>AVERAGE(I40:AB40)</f>
        <v>#REF!</v>
      </c>
      <c r="AS40" s="22" t="s">
        <v>39</v>
      </c>
    </row>
    <row r="41" spans="2:45">
      <c r="B41" s="51"/>
      <c r="C41" s="73" t="s">
        <v>40</v>
      </c>
      <c r="D41" s="53">
        <v>3.0999999999999999E-3</v>
      </c>
      <c r="E41" s="22" t="s">
        <v>37</v>
      </c>
      <c r="F41" s="50">
        <v>0</v>
      </c>
      <c r="G41" s="50">
        <v>0</v>
      </c>
      <c r="H41" s="50" t="e">
        <f>H$33*$D$41</f>
        <v>#REF!</v>
      </c>
      <c r="I41" s="50" t="e">
        <f>I$33*$D$41</f>
        <v>#REF!</v>
      </c>
      <c r="J41" s="50" t="e">
        <f t="shared" ref="J41:AA41" si="18">J$33*$D$41</f>
        <v>#REF!</v>
      </c>
      <c r="K41" s="50" t="e">
        <f t="shared" si="18"/>
        <v>#REF!</v>
      </c>
      <c r="L41" s="50" t="e">
        <f t="shared" si="18"/>
        <v>#REF!</v>
      </c>
      <c r="M41" s="50" t="e">
        <f t="shared" si="18"/>
        <v>#REF!</v>
      </c>
      <c r="N41" s="50" t="e">
        <f t="shared" si="18"/>
        <v>#REF!</v>
      </c>
      <c r="O41" s="50" t="e">
        <f t="shared" si="18"/>
        <v>#REF!</v>
      </c>
      <c r="P41" s="50" t="e">
        <f t="shared" si="18"/>
        <v>#REF!</v>
      </c>
      <c r="Q41" s="50" t="e">
        <f t="shared" si="18"/>
        <v>#REF!</v>
      </c>
      <c r="R41" s="50" t="e">
        <f t="shared" si="18"/>
        <v>#REF!</v>
      </c>
      <c r="S41" s="50" t="e">
        <f t="shared" si="18"/>
        <v>#REF!</v>
      </c>
      <c r="T41" s="50" t="e">
        <f t="shared" si="18"/>
        <v>#REF!</v>
      </c>
      <c r="U41" s="50" t="e">
        <f t="shared" si="18"/>
        <v>#REF!</v>
      </c>
      <c r="V41" s="50" t="e">
        <f t="shared" si="18"/>
        <v>#REF!</v>
      </c>
      <c r="W41" s="50" t="e">
        <f t="shared" si="18"/>
        <v>#REF!</v>
      </c>
      <c r="X41" s="50" t="e">
        <f t="shared" si="18"/>
        <v>#REF!</v>
      </c>
      <c r="Y41" s="50" t="e">
        <f t="shared" si="18"/>
        <v>#REF!</v>
      </c>
      <c r="Z41" s="243" t="e">
        <f t="shared" si="18"/>
        <v>#REF!</v>
      </c>
      <c r="AA41" s="243" t="e">
        <f t="shared" si="18"/>
        <v>#REF!</v>
      </c>
      <c r="AB41" s="50" t="e">
        <f>AB$33*$D$41</f>
        <v>#REF!</v>
      </c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Q41" s="27" t="e">
        <f>SUM(I41:AB41)</f>
        <v>#REF!</v>
      </c>
      <c r="AR41" s="77" t="e">
        <f>AVERAGE(I41:AB41)</f>
        <v>#REF!</v>
      </c>
      <c r="AS41" s="22" t="s">
        <v>40</v>
      </c>
    </row>
    <row r="42" spans="2:45">
      <c r="B42" s="51"/>
      <c r="C42" s="73" t="s">
        <v>11</v>
      </c>
      <c r="D42" s="53">
        <v>3.1099999999999999E-2</v>
      </c>
      <c r="E42" s="22" t="s">
        <v>37</v>
      </c>
      <c r="F42" s="50">
        <v>0</v>
      </c>
      <c r="G42" s="50">
        <v>0</v>
      </c>
      <c r="H42" s="50" t="e">
        <f>H$33*$D$42</f>
        <v>#REF!</v>
      </c>
      <c r="I42" s="50" t="e">
        <f>I$33*$D$42</f>
        <v>#REF!</v>
      </c>
      <c r="J42" s="50" t="e">
        <f t="shared" ref="J42:AA42" si="19">J$33*$D$42</f>
        <v>#REF!</v>
      </c>
      <c r="K42" s="50" t="e">
        <f t="shared" si="19"/>
        <v>#REF!</v>
      </c>
      <c r="L42" s="50" t="e">
        <f t="shared" si="19"/>
        <v>#REF!</v>
      </c>
      <c r="M42" s="50" t="e">
        <f t="shared" si="19"/>
        <v>#REF!</v>
      </c>
      <c r="N42" s="50" t="e">
        <f t="shared" si="19"/>
        <v>#REF!</v>
      </c>
      <c r="O42" s="50" t="e">
        <f t="shared" si="19"/>
        <v>#REF!</v>
      </c>
      <c r="P42" s="50" t="e">
        <f t="shared" si="19"/>
        <v>#REF!</v>
      </c>
      <c r="Q42" s="50" t="e">
        <f t="shared" si="19"/>
        <v>#REF!</v>
      </c>
      <c r="R42" s="50" t="e">
        <f t="shared" si="19"/>
        <v>#REF!</v>
      </c>
      <c r="S42" s="50" t="e">
        <f t="shared" si="19"/>
        <v>#REF!</v>
      </c>
      <c r="T42" s="50" t="e">
        <f t="shared" si="19"/>
        <v>#REF!</v>
      </c>
      <c r="U42" s="50" t="e">
        <f t="shared" si="19"/>
        <v>#REF!</v>
      </c>
      <c r="V42" s="50" t="e">
        <f t="shared" si="19"/>
        <v>#REF!</v>
      </c>
      <c r="W42" s="50" t="e">
        <f t="shared" si="19"/>
        <v>#REF!</v>
      </c>
      <c r="X42" s="50" t="e">
        <f t="shared" si="19"/>
        <v>#REF!</v>
      </c>
      <c r="Y42" s="50" t="e">
        <f t="shared" si="19"/>
        <v>#REF!</v>
      </c>
      <c r="Z42" s="243" t="e">
        <f t="shared" si="19"/>
        <v>#REF!</v>
      </c>
      <c r="AA42" s="243" t="e">
        <f t="shared" si="19"/>
        <v>#REF!</v>
      </c>
      <c r="AB42" s="50" t="e">
        <f>AB$33*$D$42</f>
        <v>#REF!</v>
      </c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Q42" s="27" t="e">
        <f>SUM(I42:AB42)</f>
        <v>#REF!</v>
      </c>
      <c r="AR42" s="77" t="e">
        <f>AVERAGE(I42:AB42)</f>
        <v>#REF!</v>
      </c>
      <c r="AS42" s="22" t="s">
        <v>11</v>
      </c>
    </row>
    <row r="43" spans="2:45" ht="5.0999999999999996" customHeight="1"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84"/>
      <c r="AA43" s="84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Q43" s="32"/>
      <c r="AR43" s="32"/>
    </row>
    <row r="44" spans="2:45">
      <c r="C44" s="21" t="s">
        <v>41</v>
      </c>
      <c r="D44" s="54" t="e">
        <f>AVERAGE(H44:AA44)/AVERAGE(H33:AA33)</f>
        <v>#REF!</v>
      </c>
      <c r="E44" s="21" t="s">
        <v>37</v>
      </c>
      <c r="F44" s="48">
        <v>0</v>
      </c>
      <c r="G44" s="48">
        <v>0</v>
      </c>
      <c r="H44" s="48" t="e">
        <f>IF(#REF!=TRUE,#REF!*#REF!*H26,0)</f>
        <v>#REF!</v>
      </c>
      <c r="I44" s="48" t="e">
        <f>IF(#REF!=TRUE,#REF!*#REF!*I26,0)</f>
        <v>#REF!</v>
      </c>
      <c r="J44" s="48" t="e">
        <f>IF(#REF!=TRUE,#REF!*#REF!*J26,0)</f>
        <v>#REF!</v>
      </c>
      <c r="K44" s="48" t="e">
        <f>IF(#REF!=TRUE,#REF!*#REF!*K26,0)</f>
        <v>#REF!</v>
      </c>
      <c r="L44" s="48" t="e">
        <f>IF(#REF!=TRUE,#REF!*#REF!*L26,0)</f>
        <v>#REF!</v>
      </c>
      <c r="M44" s="48" t="e">
        <f>IF(#REF!=TRUE,#REF!*#REF!*M26,0)</f>
        <v>#REF!</v>
      </c>
      <c r="N44" s="48" t="e">
        <f>IF(#REF!=TRUE,#REF!*#REF!*N26,0)</f>
        <v>#REF!</v>
      </c>
      <c r="O44" s="48" t="e">
        <f>IF(#REF!=TRUE,#REF!*#REF!*O26,0)</f>
        <v>#REF!</v>
      </c>
      <c r="P44" s="48" t="e">
        <f>IF(#REF!=TRUE,#REF!*#REF!*P26,0)</f>
        <v>#REF!</v>
      </c>
      <c r="Q44" s="48" t="e">
        <f>IF(#REF!=TRUE,#REF!*#REF!*Q26,0)</f>
        <v>#REF!</v>
      </c>
      <c r="R44" s="48" t="e">
        <f>IF(#REF!=TRUE,#REF!*#REF!*R26,0)</f>
        <v>#REF!</v>
      </c>
      <c r="S44" s="48" t="e">
        <f>IF(#REF!=TRUE,#REF!*#REF!*S26,0)</f>
        <v>#REF!</v>
      </c>
      <c r="T44" s="48" t="e">
        <f>IF(#REF!=TRUE,#REF!*#REF!*T26,0)</f>
        <v>#REF!</v>
      </c>
      <c r="U44" s="48" t="e">
        <f>IF(#REF!=TRUE,#REF!*#REF!*U26,0)</f>
        <v>#REF!</v>
      </c>
      <c r="V44" s="48" t="e">
        <f>IF(#REF!=TRUE,#REF!*#REF!*V26,0)</f>
        <v>#REF!</v>
      </c>
      <c r="W44" s="48" t="e">
        <f>IF(#REF!=TRUE,#REF!*#REF!*W26,0)</f>
        <v>#REF!</v>
      </c>
      <c r="X44" s="48" t="e">
        <f>IF(#REF!=TRUE,#REF!*#REF!*X26,0)</f>
        <v>#REF!</v>
      </c>
      <c r="Y44" s="48" t="e">
        <f>IF(#REF!=TRUE,#REF!*#REF!*Y26,0)</f>
        <v>#REF!</v>
      </c>
      <c r="Z44" s="48" t="e">
        <f>IF(#REF!=TRUE,#REF!*#REF!*Z26,0)</f>
        <v>#REF!</v>
      </c>
      <c r="AA44" s="48" t="e">
        <f>IF(#REF!=TRUE,#REF!*#REF!*AA26,0)</f>
        <v>#REF!</v>
      </c>
      <c r="AB44" s="48" t="e">
        <f>IF(#REF!=TRUE,#REF!*#REF!*AB26,0)</f>
        <v>#REF!</v>
      </c>
      <c r="AC44" s="48" t="e">
        <f>IF(#REF!=TRUE,#REF!*#REF!*AC26,0)</f>
        <v>#REF!</v>
      </c>
      <c r="AD44" s="48" t="e">
        <f>IF(#REF!=TRUE,#REF!*#REF!*AD26,0)</f>
        <v>#REF!</v>
      </c>
      <c r="AE44" s="48" t="e">
        <f>IF(#REF!=TRUE,#REF!*#REF!*AE26,0)</f>
        <v>#REF!</v>
      </c>
      <c r="AF44" s="48" t="e">
        <f>IF(#REF!=TRUE,#REF!*#REF!*AF26,0)</f>
        <v>#REF!</v>
      </c>
      <c r="AG44" s="48" t="e">
        <f>IF(#REF!=TRUE,#REF!*#REF!*AG26,0)</f>
        <v>#REF!</v>
      </c>
      <c r="AH44" s="48" t="e">
        <f>IF(#REF!=TRUE,#REF!*#REF!*AH26,0)</f>
        <v>#REF!</v>
      </c>
      <c r="AI44" s="48" t="e">
        <f>IF(#REF!=TRUE,#REF!*#REF!*AI26,0)</f>
        <v>#REF!</v>
      </c>
      <c r="AJ44" s="48" t="e">
        <f>IF(#REF!=TRUE,#REF!*#REF!*AJ26,0)</f>
        <v>#REF!</v>
      </c>
      <c r="AK44" s="48" t="e">
        <f>IF(#REF!=TRUE,#REF!*#REF!*AK26,0)</f>
        <v>#REF!</v>
      </c>
      <c r="AL44" s="48" t="e">
        <f>IF(#REF!=TRUE,#REF!*#REF!*AL26,0)</f>
        <v>#REF!</v>
      </c>
      <c r="AM44" s="48" t="e">
        <f>IF(#REF!=TRUE,#REF!*#REF!*AM26,0)</f>
        <v>#REF!</v>
      </c>
      <c r="AN44" s="48" t="e">
        <f>IF(#REF!=TRUE,#REF!*#REF!*AN26,0)</f>
        <v>#REF!</v>
      </c>
      <c r="AO44" s="48" t="e">
        <f>IF(#REF!=TRUE,#REF!*#REF!*AO26,0)</f>
        <v>#REF!</v>
      </c>
      <c r="AQ44" s="27" t="e">
        <f>SUM(I44:AB44)</f>
        <v>#REF!</v>
      </c>
      <c r="AR44" s="77" t="e">
        <f>AVERAGE(I44:AB44)</f>
        <v>#REF!</v>
      </c>
    </row>
    <row r="45" spans="2:45" ht="5.0999999999999996" customHeight="1">
      <c r="E45" s="2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84"/>
      <c r="AA45" s="84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Q45" s="32"/>
      <c r="AR45" s="32"/>
    </row>
    <row r="46" spans="2:45">
      <c r="B46" s="22">
        <v>56.25</v>
      </c>
      <c r="C46" s="21" t="s">
        <v>42</v>
      </c>
      <c r="D46" s="54" t="e">
        <f>1-D38-D44-D48</f>
        <v>#REF!</v>
      </c>
      <c r="E46" s="21" t="s">
        <v>37</v>
      </c>
      <c r="F46" s="48">
        <v>0</v>
      </c>
      <c r="G46" s="48">
        <v>0</v>
      </c>
      <c r="H46" s="48" t="e">
        <f>H33*$D$46</f>
        <v>#REF!</v>
      </c>
      <c r="I46" s="48" t="e">
        <f>I33*$D$46</f>
        <v>#REF!</v>
      </c>
      <c r="J46" s="48" t="e">
        <f>J33*$D$46</f>
        <v>#REF!</v>
      </c>
      <c r="K46" s="48" t="e">
        <f t="shared" ref="K46:AB46" si="20">K33*$D$46</f>
        <v>#REF!</v>
      </c>
      <c r="L46" s="48" t="e">
        <f t="shared" si="20"/>
        <v>#REF!</v>
      </c>
      <c r="M46" s="48" t="e">
        <f t="shared" si="20"/>
        <v>#REF!</v>
      </c>
      <c r="N46" s="48" t="e">
        <f t="shared" si="20"/>
        <v>#REF!</v>
      </c>
      <c r="O46" s="48" t="e">
        <f t="shared" si="20"/>
        <v>#REF!</v>
      </c>
      <c r="P46" s="48" t="e">
        <f t="shared" si="20"/>
        <v>#REF!</v>
      </c>
      <c r="Q46" s="48" t="e">
        <f t="shared" si="20"/>
        <v>#REF!</v>
      </c>
      <c r="R46" s="48" t="e">
        <f t="shared" si="20"/>
        <v>#REF!</v>
      </c>
      <c r="S46" s="48" t="e">
        <f t="shared" si="20"/>
        <v>#REF!</v>
      </c>
      <c r="T46" s="48" t="e">
        <f t="shared" si="20"/>
        <v>#REF!</v>
      </c>
      <c r="U46" s="48" t="e">
        <f t="shared" si="20"/>
        <v>#REF!</v>
      </c>
      <c r="V46" s="48" t="e">
        <f t="shared" si="20"/>
        <v>#REF!</v>
      </c>
      <c r="W46" s="48" t="e">
        <f t="shared" si="20"/>
        <v>#REF!</v>
      </c>
      <c r="X46" s="48" t="e">
        <f t="shared" si="20"/>
        <v>#REF!</v>
      </c>
      <c r="Y46" s="48" t="e">
        <f t="shared" si="20"/>
        <v>#REF!</v>
      </c>
      <c r="Z46" s="242" t="e">
        <f t="shared" si="20"/>
        <v>#REF!</v>
      </c>
      <c r="AA46" s="242" t="e">
        <f t="shared" si="20"/>
        <v>#REF!</v>
      </c>
      <c r="AB46" s="48" t="e">
        <f t="shared" si="20"/>
        <v>#REF!</v>
      </c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Q46" s="27" t="e">
        <f>SUM(I46:AB46)</f>
        <v>#REF!</v>
      </c>
      <c r="AR46" s="77" t="e">
        <f>AVERAGE(I46:AB46)</f>
        <v>#REF!</v>
      </c>
    </row>
    <row r="47" spans="2:45" ht="5.0999999999999996" customHeight="1">
      <c r="E47" s="2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84"/>
      <c r="AA47" s="84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Q47" s="32"/>
      <c r="AR47" s="32"/>
    </row>
    <row r="48" spans="2:45">
      <c r="C48" s="21" t="s">
        <v>43</v>
      </c>
      <c r="D48" s="43">
        <v>0.03</v>
      </c>
      <c r="E48" s="21" t="s">
        <v>37</v>
      </c>
      <c r="F48" s="48">
        <v>0</v>
      </c>
      <c r="G48" s="48">
        <v>0</v>
      </c>
      <c r="H48" s="48" t="e">
        <f>H33*$D$48</f>
        <v>#REF!</v>
      </c>
      <c r="I48" s="48" t="e">
        <f>I33*$D$48</f>
        <v>#REF!</v>
      </c>
      <c r="J48" s="48" t="e">
        <f t="shared" ref="J48:AA48" si="21">J33*$D$48</f>
        <v>#REF!</v>
      </c>
      <c r="K48" s="48" t="e">
        <f t="shared" si="21"/>
        <v>#REF!</v>
      </c>
      <c r="L48" s="48" t="e">
        <f t="shared" si="21"/>
        <v>#REF!</v>
      </c>
      <c r="M48" s="48" t="e">
        <f t="shared" si="21"/>
        <v>#REF!</v>
      </c>
      <c r="N48" s="48" t="e">
        <f t="shared" si="21"/>
        <v>#REF!</v>
      </c>
      <c r="O48" s="48" t="e">
        <f t="shared" si="21"/>
        <v>#REF!</v>
      </c>
      <c r="P48" s="48" t="e">
        <f t="shared" si="21"/>
        <v>#REF!</v>
      </c>
      <c r="Q48" s="48" t="e">
        <f t="shared" si="21"/>
        <v>#REF!</v>
      </c>
      <c r="R48" s="48" t="e">
        <f t="shared" si="21"/>
        <v>#REF!</v>
      </c>
      <c r="S48" s="48" t="e">
        <f t="shared" si="21"/>
        <v>#REF!</v>
      </c>
      <c r="T48" s="48" t="e">
        <f t="shared" si="21"/>
        <v>#REF!</v>
      </c>
      <c r="U48" s="48" t="e">
        <f t="shared" si="21"/>
        <v>#REF!</v>
      </c>
      <c r="V48" s="48" t="e">
        <f t="shared" si="21"/>
        <v>#REF!</v>
      </c>
      <c r="W48" s="48" t="e">
        <f t="shared" si="21"/>
        <v>#REF!</v>
      </c>
      <c r="X48" s="48" t="e">
        <f t="shared" si="21"/>
        <v>#REF!</v>
      </c>
      <c r="Y48" s="48" t="e">
        <f t="shared" si="21"/>
        <v>#REF!</v>
      </c>
      <c r="Z48" s="242" t="e">
        <f t="shared" si="21"/>
        <v>#REF!</v>
      </c>
      <c r="AA48" s="242" t="e">
        <f t="shared" si="21"/>
        <v>#REF!</v>
      </c>
      <c r="AB48" s="48" t="e">
        <f>AB33*$D$48</f>
        <v>#REF!</v>
      </c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Q48" s="27" t="e">
        <f>SUM(I48:AB48)</f>
        <v>#REF!</v>
      </c>
      <c r="AR48" s="77" t="e">
        <f>AVERAGE(I48:AB48)</f>
        <v>#REF!</v>
      </c>
    </row>
    <row r="49" spans="1:45" ht="5.0999999999999996" customHeight="1"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84"/>
      <c r="AA49" s="84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Q49" s="32"/>
      <c r="AR49" s="32"/>
    </row>
    <row r="50" spans="1:45" hidden="1">
      <c r="C50" s="21" t="s">
        <v>44</v>
      </c>
      <c r="D50" s="55"/>
      <c r="E50" s="21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242"/>
      <c r="AA50" s="242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Q50" s="48"/>
      <c r="AR50" s="49">
        <v>0</v>
      </c>
    </row>
    <row r="51" spans="1:45" hidden="1">
      <c r="A51" s="21"/>
      <c r="C51" s="24" t="s">
        <v>45</v>
      </c>
      <c r="D51" s="55"/>
      <c r="E51" s="21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242"/>
      <c r="AA51" s="242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Q51" s="48"/>
      <c r="AR51" s="49"/>
    </row>
    <row r="52" spans="1:45" hidden="1">
      <c r="A52" s="56" t="s">
        <v>46</v>
      </c>
      <c r="B52" s="57"/>
      <c r="C52" s="58" t="s">
        <v>47</v>
      </c>
      <c r="D52" s="59">
        <v>11520</v>
      </c>
      <c r="E52" s="56" t="s">
        <v>7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242"/>
      <c r="AA52" s="242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Q52" s="48"/>
      <c r="AR52" s="49"/>
    </row>
    <row r="53" spans="1:45" hidden="1">
      <c r="A53" s="21"/>
      <c r="C53" s="24" t="s">
        <v>48</v>
      </c>
      <c r="D53" s="60"/>
      <c r="E53" s="21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243"/>
      <c r="AA53" s="243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Q53" s="50"/>
      <c r="AR53" s="49"/>
    </row>
    <row r="54" spans="1:45" hidden="1">
      <c r="A54" s="21"/>
      <c r="C54" s="24" t="s">
        <v>49</v>
      </c>
      <c r="D54" s="49"/>
      <c r="E54" s="21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243"/>
      <c r="AA54" s="243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Q54" s="50"/>
      <c r="AR54" s="49"/>
    </row>
    <row r="55" spans="1:45" hidden="1">
      <c r="A55" s="21"/>
      <c r="C55" s="24" t="s">
        <v>50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82"/>
      <c r="AA55" s="82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Q55" s="45"/>
      <c r="AR55" s="45" t="e">
        <v>#DIV/0!</v>
      </c>
      <c r="AS55" s="46" t="e">
        <v>#DIV/0!</v>
      </c>
    </row>
    <row r="56" spans="1:45" hidden="1">
      <c r="A56" s="21" t="s">
        <v>51</v>
      </c>
      <c r="C56" s="24" t="s">
        <v>52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82"/>
      <c r="AA56" s="82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Q56" s="45"/>
      <c r="AR56" s="45">
        <v>0</v>
      </c>
    </row>
    <row r="57" spans="1:45" hidden="1"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84"/>
      <c r="AA57" s="84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Q57" s="32"/>
      <c r="AR57" s="32"/>
    </row>
    <row r="58" spans="1:45" hidden="1">
      <c r="A58" s="21"/>
      <c r="C58" s="24" t="s">
        <v>53</v>
      </c>
      <c r="D58" s="55"/>
      <c r="E58" s="21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243"/>
      <c r="AA58" s="243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Q58" s="50"/>
      <c r="AR58" s="49"/>
    </row>
    <row r="59" spans="1:45" hidden="1">
      <c r="A59" s="21" t="s">
        <v>54</v>
      </c>
      <c r="C59" s="24" t="s">
        <v>55</v>
      </c>
      <c r="D59" s="49"/>
      <c r="E59" s="21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243"/>
      <c r="AA59" s="243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Q59" s="50"/>
      <c r="AR59" s="49"/>
    </row>
    <row r="60" spans="1:45" hidden="1"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84"/>
      <c r="AA60" s="84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Q60" s="32"/>
      <c r="AR60" s="32"/>
    </row>
    <row r="61" spans="1:45" hidden="1">
      <c r="A61" s="21"/>
      <c r="C61" s="24" t="s">
        <v>56</v>
      </c>
      <c r="D61" s="55"/>
      <c r="E61" s="21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243"/>
      <c r="AA61" s="243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Q61" s="50"/>
      <c r="AR61" s="49"/>
    </row>
    <row r="62" spans="1:45" hidden="1">
      <c r="A62" s="21" t="s">
        <v>57</v>
      </c>
      <c r="C62" s="24" t="s">
        <v>58</v>
      </c>
      <c r="D62" s="49"/>
      <c r="E62" s="21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243"/>
      <c r="AA62" s="243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Q62" s="50"/>
      <c r="AR62" s="49"/>
    </row>
    <row r="63" spans="1:45" hidden="1"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84"/>
      <c r="AA63" s="84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Q63" s="32"/>
      <c r="AR63" s="32"/>
    </row>
    <row r="64" spans="1:45" hidden="1">
      <c r="B64" s="51"/>
      <c r="C64" s="52" t="s">
        <v>11</v>
      </c>
      <c r="D64" s="55"/>
      <c r="E64" s="21" t="s">
        <v>37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242">
        <v>0</v>
      </c>
      <c r="AA64" s="242">
        <v>0</v>
      </c>
      <c r="AB64" s="48">
        <v>0</v>
      </c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Q64" s="48"/>
      <c r="AR64" s="49">
        <v>0</v>
      </c>
      <c r="AS64" s="61"/>
    </row>
    <row r="65" spans="2:45" hidden="1">
      <c r="B65" s="51"/>
      <c r="C65" s="24" t="s">
        <v>59</v>
      </c>
      <c r="D65" s="53"/>
      <c r="E65" s="22" t="s">
        <v>37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243"/>
      <c r="AA65" s="243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Q65" s="50"/>
      <c r="AR65" s="45">
        <v>0</v>
      </c>
    </row>
    <row r="66" spans="2:45" hidden="1">
      <c r="B66" s="51"/>
      <c r="C66" s="24" t="s">
        <v>60</v>
      </c>
      <c r="D66" s="53">
        <v>0.8</v>
      </c>
      <c r="E66" s="22" t="s">
        <v>37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243">
        <v>0</v>
      </c>
      <c r="AA66" s="243">
        <v>0</v>
      </c>
      <c r="AB66" s="50">
        <v>0</v>
      </c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Q66" s="50"/>
      <c r="AR66" s="45">
        <v>0</v>
      </c>
    </row>
    <row r="67" spans="2:45" hidden="1">
      <c r="B67" s="51"/>
      <c r="C67" s="24" t="s">
        <v>60</v>
      </c>
      <c r="D67" s="53">
        <v>0.8</v>
      </c>
      <c r="E67" s="22" t="s">
        <v>37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243">
        <v>0</v>
      </c>
      <c r="AA67" s="243">
        <v>0</v>
      </c>
      <c r="AB67" s="50">
        <v>0</v>
      </c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Q67" s="50"/>
      <c r="AR67" s="45"/>
    </row>
    <row r="68" spans="2:45" hidden="1">
      <c r="B68" s="51"/>
      <c r="C68" s="24" t="s">
        <v>61</v>
      </c>
      <c r="D68" s="53">
        <v>0.7</v>
      </c>
      <c r="E68" s="22" t="s">
        <v>37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243">
        <v>0</v>
      </c>
      <c r="AA68" s="243">
        <v>0</v>
      </c>
      <c r="AB68" s="50">
        <v>0</v>
      </c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Q68" s="50"/>
      <c r="AR68" s="45">
        <v>0</v>
      </c>
    </row>
    <row r="69" spans="2:45" hidden="1">
      <c r="B69" s="51"/>
      <c r="C69" s="24" t="s">
        <v>62</v>
      </c>
      <c r="D69" s="53"/>
      <c r="E69" s="22" t="s">
        <v>37</v>
      </c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243"/>
      <c r="AA69" s="243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Q69" s="50"/>
      <c r="AR69" s="45">
        <v>0</v>
      </c>
    </row>
    <row r="70" spans="2:45" hidden="1">
      <c r="B70" s="51"/>
      <c r="C70" s="24" t="s">
        <v>63</v>
      </c>
      <c r="D70" s="53">
        <v>0.5</v>
      </c>
      <c r="E70" s="22" t="s">
        <v>37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243">
        <v>0</v>
      </c>
      <c r="AA70" s="243">
        <v>0</v>
      </c>
      <c r="AB70" s="50">
        <v>0</v>
      </c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Q70" s="50"/>
      <c r="AR70" s="45">
        <v>0</v>
      </c>
    </row>
    <row r="71" spans="2:45" hidden="1">
      <c r="B71" s="51"/>
      <c r="C71" s="24" t="s">
        <v>64</v>
      </c>
      <c r="D71" s="53"/>
      <c r="E71" s="22" t="s">
        <v>37</v>
      </c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243"/>
      <c r="AA71" s="243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Q71" s="50"/>
      <c r="AR71" s="45">
        <v>0</v>
      </c>
    </row>
    <row r="72" spans="2:45" hidden="1"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84"/>
      <c r="AA72" s="84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Q72" s="32"/>
      <c r="AR72" s="32"/>
    </row>
    <row r="73" spans="2:45" hidden="1"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84"/>
      <c r="AA73" s="84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Q73" s="32"/>
      <c r="AR73" s="32"/>
    </row>
    <row r="74" spans="2:45">
      <c r="B74" s="39"/>
      <c r="C74" s="34" t="s">
        <v>65</v>
      </c>
      <c r="D74" s="38"/>
      <c r="E74" s="36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239"/>
      <c r="AA74" s="239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Q74" s="37"/>
      <c r="AR74" s="37"/>
      <c r="AS74" s="39"/>
    </row>
    <row r="75" spans="2:45" ht="5.0999999999999996" customHeight="1"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84"/>
      <c r="AA75" s="84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Q75" s="32"/>
      <c r="AR75" s="32"/>
    </row>
    <row r="76" spans="2:45">
      <c r="B76" s="28" t="s">
        <v>66</v>
      </c>
      <c r="C76" s="40" t="s">
        <v>67</v>
      </c>
      <c r="E76" s="21" t="s">
        <v>7</v>
      </c>
      <c r="F76" s="45">
        <f>F36</f>
        <v>0</v>
      </c>
      <c r="G76" s="45">
        <f t="shared" ref="G76:AB76" si="22">G36</f>
        <v>0</v>
      </c>
      <c r="H76" s="45" t="e">
        <f t="shared" si="22"/>
        <v>#REF!</v>
      </c>
      <c r="I76" s="45" t="e">
        <f>I36</f>
        <v>#REF!</v>
      </c>
      <c r="J76" s="45" t="e">
        <f t="shared" si="22"/>
        <v>#REF!</v>
      </c>
      <c r="K76" s="45" t="e">
        <f t="shared" si="22"/>
        <v>#REF!</v>
      </c>
      <c r="L76" s="45" t="e">
        <f t="shared" si="22"/>
        <v>#REF!</v>
      </c>
      <c r="M76" s="45" t="e">
        <f t="shared" si="22"/>
        <v>#REF!</v>
      </c>
      <c r="N76" s="45" t="e">
        <f t="shared" si="22"/>
        <v>#REF!</v>
      </c>
      <c r="O76" s="45" t="e">
        <f t="shared" si="22"/>
        <v>#REF!</v>
      </c>
      <c r="P76" s="45" t="e">
        <f t="shared" si="22"/>
        <v>#REF!</v>
      </c>
      <c r="Q76" s="45" t="e">
        <f t="shared" si="22"/>
        <v>#REF!</v>
      </c>
      <c r="R76" s="45" t="e">
        <f t="shared" si="22"/>
        <v>#REF!</v>
      </c>
      <c r="S76" s="45" t="e">
        <f t="shared" si="22"/>
        <v>#REF!</v>
      </c>
      <c r="T76" s="45" t="e">
        <f t="shared" si="22"/>
        <v>#REF!</v>
      </c>
      <c r="U76" s="45" t="e">
        <f t="shared" si="22"/>
        <v>#REF!</v>
      </c>
      <c r="V76" s="45" t="e">
        <f t="shared" si="22"/>
        <v>#REF!</v>
      </c>
      <c r="W76" s="45" t="e">
        <f t="shared" si="22"/>
        <v>#REF!</v>
      </c>
      <c r="X76" s="45" t="e">
        <f t="shared" si="22"/>
        <v>#REF!</v>
      </c>
      <c r="Y76" s="45" t="e">
        <f t="shared" si="22"/>
        <v>#REF!</v>
      </c>
      <c r="Z76" s="82" t="e">
        <f t="shared" si="22"/>
        <v>#REF!</v>
      </c>
      <c r="AA76" s="82" t="e">
        <f t="shared" si="22"/>
        <v>#REF!</v>
      </c>
      <c r="AB76" s="45" t="e">
        <f t="shared" si="22"/>
        <v>#REF!</v>
      </c>
      <c r="AC76" s="45">
        <v>0</v>
      </c>
      <c r="AD76" s="45">
        <v>0</v>
      </c>
      <c r="AE76" s="45">
        <v>0</v>
      </c>
      <c r="AF76" s="45">
        <v>0</v>
      </c>
      <c r="AG76" s="45">
        <v>0</v>
      </c>
      <c r="AH76" s="45">
        <v>0</v>
      </c>
      <c r="AI76" s="45">
        <v>0</v>
      </c>
      <c r="AJ76" s="45">
        <v>0</v>
      </c>
      <c r="AK76" s="45">
        <v>0</v>
      </c>
      <c r="AL76" s="45">
        <v>0</v>
      </c>
      <c r="AM76" s="45">
        <v>0</v>
      </c>
      <c r="AN76" s="45">
        <v>0</v>
      </c>
      <c r="AO76" s="45">
        <v>0</v>
      </c>
      <c r="AQ76" s="27" t="e">
        <f>SUM(H76:AA76)</f>
        <v>#REF!</v>
      </c>
      <c r="AR76" s="77" t="e">
        <f>AVERAGE(I76:AB76)</f>
        <v>#REF!</v>
      </c>
      <c r="AS76" s="62" t="e">
        <f>AQ76/AQ80</f>
        <v>#REF!</v>
      </c>
    </row>
    <row r="77" spans="2:45" ht="5.0999999999999996" customHeight="1">
      <c r="B77" s="28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82"/>
      <c r="AA77" s="82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Q77" s="45"/>
      <c r="AR77" s="32"/>
      <c r="AS77" s="6"/>
    </row>
    <row r="78" spans="2:45">
      <c r="B78" s="28" t="s">
        <v>66</v>
      </c>
      <c r="C78" s="40" t="s">
        <v>68</v>
      </c>
      <c r="E78" s="21" t="s">
        <v>7</v>
      </c>
      <c r="F78" s="45">
        <f>F46</f>
        <v>0</v>
      </c>
      <c r="G78" s="45">
        <f t="shared" ref="G78:AB78" si="23">G46</f>
        <v>0</v>
      </c>
      <c r="H78" s="45" t="e">
        <f>H46</f>
        <v>#REF!</v>
      </c>
      <c r="I78" s="45" t="e">
        <f>I46</f>
        <v>#REF!</v>
      </c>
      <c r="J78" s="45" t="e">
        <f t="shared" si="23"/>
        <v>#REF!</v>
      </c>
      <c r="K78" s="45" t="e">
        <f t="shared" si="23"/>
        <v>#REF!</v>
      </c>
      <c r="L78" s="45" t="e">
        <f t="shared" si="23"/>
        <v>#REF!</v>
      </c>
      <c r="M78" s="45" t="e">
        <f t="shared" si="23"/>
        <v>#REF!</v>
      </c>
      <c r="N78" s="45" t="e">
        <f t="shared" si="23"/>
        <v>#REF!</v>
      </c>
      <c r="O78" s="45" t="e">
        <f t="shared" si="23"/>
        <v>#REF!</v>
      </c>
      <c r="P78" s="45" t="e">
        <f t="shared" si="23"/>
        <v>#REF!</v>
      </c>
      <c r="Q78" s="45" t="e">
        <f t="shared" si="23"/>
        <v>#REF!</v>
      </c>
      <c r="R78" s="45" t="e">
        <f t="shared" si="23"/>
        <v>#REF!</v>
      </c>
      <c r="S78" s="45" t="e">
        <f t="shared" si="23"/>
        <v>#REF!</v>
      </c>
      <c r="T78" s="45" t="e">
        <f t="shared" si="23"/>
        <v>#REF!</v>
      </c>
      <c r="U78" s="45" t="e">
        <f t="shared" si="23"/>
        <v>#REF!</v>
      </c>
      <c r="V78" s="45" t="e">
        <f t="shared" si="23"/>
        <v>#REF!</v>
      </c>
      <c r="W78" s="45" t="e">
        <f>W46</f>
        <v>#REF!</v>
      </c>
      <c r="X78" s="45" t="e">
        <f>X46</f>
        <v>#REF!</v>
      </c>
      <c r="Y78" s="45" t="e">
        <f>Y46</f>
        <v>#REF!</v>
      </c>
      <c r="Z78" s="82" t="e">
        <f>Z46</f>
        <v>#REF!</v>
      </c>
      <c r="AA78" s="82" t="e">
        <f>AA46</f>
        <v>#REF!</v>
      </c>
      <c r="AB78" s="74" t="e">
        <f t="shared" si="23"/>
        <v>#REF!</v>
      </c>
      <c r="AC78" s="45">
        <v>0</v>
      </c>
      <c r="AD78" s="45">
        <v>0</v>
      </c>
      <c r="AE78" s="45">
        <v>0</v>
      </c>
      <c r="AF78" s="45">
        <v>0</v>
      </c>
      <c r="AG78" s="45">
        <v>0</v>
      </c>
      <c r="AH78" s="45">
        <v>0</v>
      </c>
      <c r="AI78" s="45">
        <v>0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0</v>
      </c>
      <c r="AQ78" s="27" t="e">
        <f>SUM(I78:AB78)</f>
        <v>#REF!</v>
      </c>
      <c r="AR78" s="77" t="e">
        <f>AVERAGE(I78:AB78)</f>
        <v>#REF!</v>
      </c>
      <c r="AS78" s="62" t="e">
        <f>AQ78/AQ80</f>
        <v>#REF!</v>
      </c>
    </row>
    <row r="79" spans="2:45" ht="5.0999999999999996" customHeight="1">
      <c r="B79" s="28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82"/>
      <c r="AA79" s="82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Q79" s="45"/>
      <c r="AR79" s="32"/>
    </row>
    <row r="80" spans="2:45" ht="15" customHeight="1">
      <c r="B80" s="28" t="s">
        <v>66</v>
      </c>
      <c r="C80" s="63" t="s">
        <v>101</v>
      </c>
      <c r="E80" s="21" t="s">
        <v>7</v>
      </c>
      <c r="F80" s="49">
        <f>SUM(F76:F79)</f>
        <v>0</v>
      </c>
      <c r="G80" s="49">
        <f t="shared" ref="G80:AO80" si="24">SUM(G76:G79)</f>
        <v>0</v>
      </c>
      <c r="H80" s="49" t="e">
        <f>SUM(H76:H79)</f>
        <v>#REF!</v>
      </c>
      <c r="I80" s="49" t="e">
        <f>SUM(I76:I79)</f>
        <v>#REF!</v>
      </c>
      <c r="J80" s="49" t="e">
        <f t="shared" si="24"/>
        <v>#REF!</v>
      </c>
      <c r="K80" s="49" t="e">
        <f t="shared" si="24"/>
        <v>#REF!</v>
      </c>
      <c r="L80" s="49" t="e">
        <f t="shared" si="24"/>
        <v>#REF!</v>
      </c>
      <c r="M80" s="49" t="e">
        <f t="shared" si="24"/>
        <v>#REF!</v>
      </c>
      <c r="N80" s="49" t="e">
        <f t="shared" si="24"/>
        <v>#REF!</v>
      </c>
      <c r="O80" s="49" t="e">
        <f t="shared" si="24"/>
        <v>#REF!</v>
      </c>
      <c r="P80" s="49" t="e">
        <f t="shared" si="24"/>
        <v>#REF!</v>
      </c>
      <c r="Q80" s="49" t="e">
        <f t="shared" si="24"/>
        <v>#REF!</v>
      </c>
      <c r="R80" s="49" t="e">
        <f t="shared" si="24"/>
        <v>#REF!</v>
      </c>
      <c r="S80" s="49" t="e">
        <f t="shared" si="24"/>
        <v>#REF!</v>
      </c>
      <c r="T80" s="49" t="e">
        <f t="shared" si="24"/>
        <v>#REF!</v>
      </c>
      <c r="U80" s="49" t="e">
        <f t="shared" si="24"/>
        <v>#REF!</v>
      </c>
      <c r="V80" s="49" t="e">
        <f t="shared" si="24"/>
        <v>#REF!</v>
      </c>
      <c r="W80" s="49" t="e">
        <f t="shared" si="24"/>
        <v>#REF!</v>
      </c>
      <c r="X80" s="49" t="e">
        <f t="shared" si="24"/>
        <v>#REF!</v>
      </c>
      <c r="Y80" s="49" t="e">
        <f t="shared" si="24"/>
        <v>#REF!</v>
      </c>
      <c r="Z80" s="244" t="e">
        <f t="shared" si="24"/>
        <v>#REF!</v>
      </c>
      <c r="AA80" s="244" t="e">
        <f t="shared" si="24"/>
        <v>#REF!</v>
      </c>
      <c r="AB80" s="49" t="e">
        <f t="shared" si="24"/>
        <v>#REF!</v>
      </c>
      <c r="AC80" s="49">
        <f t="shared" si="24"/>
        <v>0</v>
      </c>
      <c r="AD80" s="49">
        <f t="shared" si="24"/>
        <v>0</v>
      </c>
      <c r="AE80" s="49">
        <f t="shared" si="24"/>
        <v>0</v>
      </c>
      <c r="AF80" s="49">
        <f t="shared" si="24"/>
        <v>0</v>
      </c>
      <c r="AG80" s="49">
        <f t="shared" si="24"/>
        <v>0</v>
      </c>
      <c r="AH80" s="49">
        <f t="shared" si="24"/>
        <v>0</v>
      </c>
      <c r="AI80" s="49">
        <f t="shared" si="24"/>
        <v>0</v>
      </c>
      <c r="AJ80" s="49">
        <f t="shared" si="24"/>
        <v>0</v>
      </c>
      <c r="AK80" s="49">
        <f t="shared" si="24"/>
        <v>0</v>
      </c>
      <c r="AL80" s="49">
        <f t="shared" si="24"/>
        <v>0</v>
      </c>
      <c r="AM80" s="49">
        <f t="shared" si="24"/>
        <v>0</v>
      </c>
      <c r="AN80" s="49">
        <f t="shared" si="24"/>
        <v>0</v>
      </c>
      <c r="AO80" s="49">
        <f t="shared" si="24"/>
        <v>0</v>
      </c>
      <c r="AQ80" s="27" t="e">
        <f>SUM(H80:AA80)</f>
        <v>#REF!</v>
      </c>
      <c r="AR80" s="77" t="e">
        <f>AVERAGE(H80:AA80)</f>
        <v>#REF!</v>
      </c>
    </row>
    <row r="81" spans="2:45" ht="15" customHeight="1">
      <c r="C81" s="63"/>
      <c r="E81" s="21" t="s">
        <v>69</v>
      </c>
      <c r="F81" s="49" t="e">
        <f>F80/12/#REF!</f>
        <v>#REF!</v>
      </c>
      <c r="G81" s="49" t="e">
        <f>G80/12/#REF!</f>
        <v>#REF!</v>
      </c>
      <c r="H81" s="49" t="e">
        <f>H80/12/#REF!</f>
        <v>#REF!</v>
      </c>
      <c r="I81" s="49" t="e">
        <f>I80/12/#REF!</f>
        <v>#REF!</v>
      </c>
      <c r="J81" s="49" t="e">
        <f>J80/12/#REF!</f>
        <v>#REF!</v>
      </c>
      <c r="K81" s="49" t="e">
        <f>K80/12/#REF!</f>
        <v>#REF!</v>
      </c>
      <c r="L81" s="49" t="e">
        <f>L80/12/#REF!</f>
        <v>#REF!</v>
      </c>
      <c r="M81" s="49" t="e">
        <f>M80/12/#REF!</f>
        <v>#REF!</v>
      </c>
      <c r="N81" s="49" t="e">
        <f>N80/12/#REF!</f>
        <v>#REF!</v>
      </c>
      <c r="O81" s="49" t="e">
        <f>O80/12/#REF!</f>
        <v>#REF!</v>
      </c>
      <c r="P81" s="49" t="e">
        <f>P80/12/#REF!</f>
        <v>#REF!</v>
      </c>
      <c r="Q81" s="49" t="e">
        <f>Q80/12/#REF!</f>
        <v>#REF!</v>
      </c>
      <c r="R81" s="49" t="e">
        <f>R80/12/#REF!</f>
        <v>#REF!</v>
      </c>
      <c r="S81" s="49" t="e">
        <f>S80/12/#REF!</f>
        <v>#REF!</v>
      </c>
      <c r="T81" s="49" t="e">
        <f>T80/12/#REF!</f>
        <v>#REF!</v>
      </c>
      <c r="U81" s="49" t="e">
        <f>U80/12/#REF!</f>
        <v>#REF!</v>
      </c>
      <c r="V81" s="49" t="e">
        <f>V80/12/#REF!</f>
        <v>#REF!</v>
      </c>
      <c r="W81" s="49" t="e">
        <f>W80/12/#REF!</f>
        <v>#REF!</v>
      </c>
      <c r="X81" s="49" t="e">
        <f>X80/12/#REF!</f>
        <v>#REF!</v>
      </c>
      <c r="Y81" s="49" t="e">
        <f>Y80/12/#REF!</f>
        <v>#REF!</v>
      </c>
      <c r="Z81" s="244" t="e">
        <f>Z80/12/#REF!</f>
        <v>#REF!</v>
      </c>
      <c r="AA81" s="244" t="e">
        <f>AA80/12/#REF!</f>
        <v>#REF!</v>
      </c>
      <c r="AB81" s="49" t="e">
        <f>AB80/12/#REF!</f>
        <v>#REF!</v>
      </c>
      <c r="AC81" s="49">
        <v>0</v>
      </c>
      <c r="AD81" s="49">
        <v>0</v>
      </c>
      <c r="AE81" s="49">
        <v>0</v>
      </c>
      <c r="AF81" s="49">
        <v>0</v>
      </c>
      <c r="AG81" s="49">
        <v>0</v>
      </c>
      <c r="AH81" s="49">
        <v>0</v>
      </c>
      <c r="AI81" s="49">
        <v>0</v>
      </c>
      <c r="AJ81" s="49">
        <v>0</v>
      </c>
      <c r="AK81" s="49">
        <v>0</v>
      </c>
      <c r="AL81" s="49">
        <v>0</v>
      </c>
      <c r="AM81" s="49">
        <v>0</v>
      </c>
      <c r="AN81" s="49">
        <v>0</v>
      </c>
      <c r="AO81" s="49">
        <v>0</v>
      </c>
      <c r="AQ81" s="27" t="e">
        <f>SUM(H81:AA81)</f>
        <v>#REF!</v>
      </c>
      <c r="AR81" s="77" t="e">
        <f>AVERAGE(H81:AA81)</f>
        <v>#REF!</v>
      </c>
    </row>
    <row r="82" spans="2:45" ht="5.0999999999999996" customHeight="1"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84"/>
      <c r="AA82" s="84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Q82" s="32"/>
      <c r="AR82" s="32"/>
    </row>
    <row r="83" spans="2:45">
      <c r="B83" s="64"/>
      <c r="C83" s="65" t="s">
        <v>70</v>
      </c>
      <c r="D83" s="66"/>
      <c r="E83" s="65"/>
      <c r="F83" s="67" t="e">
        <f t="shared" ref="F83:AB83" si="25">IF(F6=0,0,+F80/F6)</f>
        <v>#REF!</v>
      </c>
      <c r="G83" s="67" t="e">
        <f t="shared" si="25"/>
        <v>#REF!</v>
      </c>
      <c r="H83" s="67" t="e">
        <f t="shared" si="25"/>
        <v>#REF!</v>
      </c>
      <c r="I83" s="67" t="e">
        <f t="shared" si="25"/>
        <v>#REF!</v>
      </c>
      <c r="J83" s="67" t="e">
        <f t="shared" si="25"/>
        <v>#REF!</v>
      </c>
      <c r="K83" s="67" t="e">
        <f t="shared" si="25"/>
        <v>#REF!</v>
      </c>
      <c r="L83" s="67" t="e">
        <f t="shared" si="25"/>
        <v>#REF!</v>
      </c>
      <c r="M83" s="67" t="e">
        <f t="shared" si="25"/>
        <v>#REF!</v>
      </c>
      <c r="N83" s="67" t="e">
        <f t="shared" si="25"/>
        <v>#REF!</v>
      </c>
      <c r="O83" s="67" t="e">
        <f t="shared" si="25"/>
        <v>#REF!</v>
      </c>
      <c r="P83" s="67" t="e">
        <f t="shared" si="25"/>
        <v>#REF!</v>
      </c>
      <c r="Q83" s="67" t="e">
        <f t="shared" si="25"/>
        <v>#REF!</v>
      </c>
      <c r="R83" s="67" t="e">
        <f t="shared" si="25"/>
        <v>#REF!</v>
      </c>
      <c r="S83" s="67" t="e">
        <f t="shared" si="25"/>
        <v>#REF!</v>
      </c>
      <c r="T83" s="67" t="e">
        <f t="shared" si="25"/>
        <v>#REF!</v>
      </c>
      <c r="U83" s="67" t="e">
        <f t="shared" si="25"/>
        <v>#REF!</v>
      </c>
      <c r="V83" s="67" t="e">
        <f t="shared" si="25"/>
        <v>#REF!</v>
      </c>
      <c r="W83" s="67" t="e">
        <f t="shared" si="25"/>
        <v>#REF!</v>
      </c>
      <c r="X83" s="67" t="e">
        <f t="shared" si="25"/>
        <v>#REF!</v>
      </c>
      <c r="Y83" s="67" t="e">
        <f t="shared" si="25"/>
        <v>#REF!</v>
      </c>
      <c r="Z83" s="245" t="e">
        <f t="shared" si="25"/>
        <v>#REF!</v>
      </c>
      <c r="AA83" s="245" t="e">
        <f t="shared" si="25"/>
        <v>#REF!</v>
      </c>
      <c r="AB83" s="67" t="e">
        <f t="shared" si="25"/>
        <v>#REF!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Q83" s="67"/>
      <c r="AR83" s="68" t="e">
        <f>+AQ80/AQ6</f>
        <v>#REF!</v>
      </c>
      <c r="AS83" s="64"/>
    </row>
  </sheetData>
  <mergeCells count="2">
    <mergeCell ref="D11:D12"/>
    <mergeCell ref="AQ1:AQ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DF (PMI)</vt:lpstr>
      <vt:lpstr>Resumo contraprestação</vt:lpstr>
      <vt:lpstr>Quadro 02 - Custos</vt:lpstr>
      <vt:lpstr>4.1 TRANSFERENCIA</vt:lpstr>
      <vt:lpstr>Quadro 03 - Investimentos</vt:lpstr>
      <vt:lpstr>Balanço de massa RCC</vt:lpstr>
      <vt:lpstr>Balanço de massa RVV</vt:lpstr>
      <vt:lpstr>Balanço de massa RSD</vt:lpstr>
      <vt:lpstr>'DF (PMI)'!Print_Area</vt:lpstr>
      <vt:lpstr>'Resumo contraprestação'!Print_Area</vt:lpstr>
      <vt:lpstr>'DF (PMI)'!Print_Titles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Trabalho4</dc:creator>
  <cp:lastModifiedBy>Marta</cp:lastModifiedBy>
  <cp:lastPrinted>2022-07-26T15:33:59Z</cp:lastPrinted>
  <dcterms:created xsi:type="dcterms:W3CDTF">2020-09-01T21:48:36Z</dcterms:created>
  <dcterms:modified xsi:type="dcterms:W3CDTF">2023-04-28T21:29:38Z</dcterms:modified>
</cp:coreProperties>
</file>